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opbox\Commune de Bassins\Groupement de Citoyen de Bassins\Comité GCB\Documentation divers\Compte commune\"/>
    </mc:Choice>
  </mc:AlternateContent>
  <xr:revisionPtr revIDLastSave="0" documentId="8_{56FBF3C5-A199-403C-9433-E81A59709E99}" xr6:coauthVersionLast="45" xr6:coauthVersionMax="45" xr10:uidLastSave="{00000000-0000-0000-0000-000000000000}"/>
  <bookViews>
    <workbookView xWindow="-120" yWindow="-120" windowWidth="38640" windowHeight="21240" activeTab="1" xr2:uid="{DCC5FB13-6BA1-49D5-8520-C9DAD0B4BA2F}"/>
  </bookViews>
  <sheets>
    <sheet name="Données" sheetId="1" r:id="rId1"/>
    <sheet name="AF" sheetId="2" r:id="rId2"/>
    <sheet name="TBAF" sheetId="3" r:id="rId3"/>
    <sheet name="EP" sheetId="4" r:id="rId4"/>
    <sheet name="TBEP" sheetId="5" r:id="rId5"/>
    <sheet name="INFO GC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5" l="1"/>
  <c r="F2" i="3"/>
  <c r="H3" i="2"/>
  <c r="C80" i="4" l="1"/>
  <c r="D80" i="4"/>
  <c r="E80" i="4"/>
  <c r="F80" i="4"/>
  <c r="B80" i="4"/>
  <c r="C52" i="4"/>
  <c r="D52" i="4"/>
  <c r="E52" i="4"/>
  <c r="F52" i="4"/>
  <c r="B52" i="4"/>
  <c r="B41" i="4"/>
  <c r="B77" i="4"/>
  <c r="B79" i="4" s="1"/>
  <c r="B74" i="4"/>
  <c r="B76" i="4" s="1"/>
  <c r="B62" i="4"/>
  <c r="B64" i="4" s="1"/>
  <c r="C62" i="4" s="1"/>
  <c r="C64" i="4" s="1"/>
  <c r="D62" i="4" s="1"/>
  <c r="D64" i="4" s="1"/>
  <c r="E62" i="4" s="1"/>
  <c r="E64" i="4" s="1"/>
  <c r="F62" i="4" s="1"/>
  <c r="F64" i="4" s="1"/>
  <c r="B71" i="4"/>
  <c r="B73" i="4" s="1"/>
  <c r="C71" i="4" s="1"/>
  <c r="C73" i="4" s="1"/>
  <c r="D71" i="4" s="1"/>
  <c r="D73" i="4" s="1"/>
  <c r="E71" i="4" s="1"/>
  <c r="E73" i="4" s="1"/>
  <c r="F71" i="4" s="1"/>
  <c r="F73" i="4" s="1"/>
  <c r="B68" i="4"/>
  <c r="B70" i="4" s="1"/>
  <c r="C68" i="4" s="1"/>
  <c r="B65" i="4"/>
  <c r="B67" i="4" s="1"/>
  <c r="C65" i="4" s="1"/>
  <c r="C67" i="4" s="1"/>
  <c r="D65" i="4" s="1"/>
  <c r="D67" i="4" s="1"/>
  <c r="E65" i="4" s="1"/>
  <c r="E67" i="4" s="1"/>
  <c r="B59" i="4"/>
  <c r="B61" i="4" s="1"/>
  <c r="C59" i="4" s="1"/>
  <c r="C61" i="4" s="1"/>
  <c r="D59" i="4" s="1"/>
  <c r="D61" i="4" s="1"/>
  <c r="E59" i="4" s="1"/>
  <c r="E61" i="4" s="1"/>
  <c r="F59" i="4" s="1"/>
  <c r="F61" i="4" s="1"/>
  <c r="B56" i="4"/>
  <c r="B58" i="4" s="1"/>
  <c r="B49" i="4"/>
  <c r="B51" i="4" s="1"/>
  <c r="B46" i="4"/>
  <c r="B48" i="4" s="1"/>
  <c r="B43" i="4"/>
  <c r="B45" i="4" s="1"/>
  <c r="C43" i="4" s="1"/>
  <c r="B33" i="4"/>
  <c r="B35" i="4" s="1"/>
  <c r="B30" i="4"/>
  <c r="B32" i="4" s="1"/>
  <c r="C30" i="4" s="1"/>
  <c r="D105" i="2"/>
  <c r="D103" i="2" s="1"/>
  <c r="C49" i="4" l="1"/>
  <c r="C56" i="4"/>
  <c r="B81" i="4"/>
  <c r="B104" i="4" s="1"/>
  <c r="C33" i="4"/>
  <c r="C35" i="4" s="1"/>
  <c r="D33" i="4" s="1"/>
  <c r="D35" i="4" s="1"/>
  <c r="E33" i="4" s="1"/>
  <c r="F65" i="4"/>
  <c r="F67" i="4" s="1"/>
  <c r="B91" i="4"/>
  <c r="C46" i="4"/>
  <c r="C48" i="4" s="1"/>
  <c r="D46" i="4" s="1"/>
  <c r="C74" i="4"/>
  <c r="C76" i="4" s="1"/>
  <c r="D74" i="4" s="1"/>
  <c r="D76" i="4" s="1"/>
  <c r="E74" i="4" s="1"/>
  <c r="E76" i="4" s="1"/>
  <c r="F74" i="4" s="1"/>
  <c r="F76" i="4" s="1"/>
  <c r="C70" i="4"/>
  <c r="D68" i="4" s="1"/>
  <c r="D70" i="4" s="1"/>
  <c r="E68" i="4" s="1"/>
  <c r="E70" i="4" s="1"/>
  <c r="F68" i="4" s="1"/>
  <c r="F70" i="4" s="1"/>
  <c r="C77" i="4"/>
  <c r="C58" i="4"/>
  <c r="C32" i="4"/>
  <c r="D30" i="4" s="1"/>
  <c r="C45" i="4"/>
  <c r="D43" i="4" s="1"/>
  <c r="F93" i="4"/>
  <c r="C93" i="4"/>
  <c r="D93" i="4"/>
  <c r="E93" i="4"/>
  <c r="B93" i="4"/>
  <c r="D56" i="4" l="1"/>
  <c r="B88" i="4"/>
  <c r="B137" i="4"/>
  <c r="C79" i="4"/>
  <c r="C81" i="4" s="1"/>
  <c r="D77" i="4"/>
  <c r="D49" i="4"/>
  <c r="C51" i="4"/>
  <c r="C91" i="4" s="1"/>
  <c r="G69" i="1"/>
  <c r="G70" i="1" s="1"/>
  <c r="D69" i="1"/>
  <c r="E69" i="1"/>
  <c r="F69" i="1"/>
  <c r="C69" i="1"/>
  <c r="D98" i="1"/>
  <c r="E98" i="1"/>
  <c r="F98" i="1"/>
  <c r="G98" i="1"/>
  <c r="D79" i="4" l="1"/>
  <c r="E77" i="4"/>
  <c r="E49" i="4"/>
  <c r="D51" i="4"/>
  <c r="C1" i="5"/>
  <c r="C131" i="4"/>
  <c r="D131" i="4"/>
  <c r="E131" i="4"/>
  <c r="F131" i="4"/>
  <c r="B131" i="4"/>
  <c r="D91" i="4" l="1"/>
  <c r="F77" i="4"/>
  <c r="F79" i="4" s="1"/>
  <c r="E79" i="4"/>
  <c r="F49" i="4"/>
  <c r="F51" i="4" s="1"/>
  <c r="E51" i="4"/>
  <c r="G9" i="5"/>
  <c r="K9" i="5"/>
  <c r="J9" i="5"/>
  <c r="I9" i="5"/>
  <c r="H9" i="5"/>
  <c r="B21" i="4"/>
  <c r="C19" i="4"/>
  <c r="C21" i="4" s="1"/>
  <c r="B15" i="4"/>
  <c r="C13" i="4"/>
  <c r="B9" i="4"/>
  <c r="C7" i="4"/>
  <c r="C9" i="4" s="1"/>
  <c r="E91" i="4" l="1"/>
  <c r="F91" i="4"/>
  <c r="C15" i="4"/>
  <c r="C41" i="4"/>
  <c r="D48" i="4"/>
  <c r="E46" i="4" s="1"/>
  <c r="D7" i="4"/>
  <c r="D19" i="4"/>
  <c r="D13" i="4"/>
  <c r="D41" i="4" s="1"/>
  <c r="B1" i="3"/>
  <c r="B1" i="4" s="1"/>
  <c r="D1" i="2"/>
  <c r="D70" i="1"/>
  <c r="E70" i="1"/>
  <c r="F70" i="1"/>
  <c r="C70" i="1"/>
  <c r="D82" i="1"/>
  <c r="D83" i="1" s="1"/>
  <c r="E70" i="2"/>
  <c r="F70" i="2"/>
  <c r="G70" i="2"/>
  <c r="H70" i="2"/>
  <c r="D70" i="2"/>
  <c r="E48" i="4" l="1"/>
  <c r="F46" i="4" s="1"/>
  <c r="D9" i="4"/>
  <c r="E7" i="4"/>
  <c r="D21" i="4"/>
  <c r="E19" i="4"/>
  <c r="D15" i="4"/>
  <c r="E13" i="4"/>
  <c r="E105" i="2"/>
  <c r="E103" i="2" s="1"/>
  <c r="F105" i="2"/>
  <c r="F103" i="2" s="1"/>
  <c r="G105" i="2"/>
  <c r="G103" i="2" s="1"/>
  <c r="H105" i="2"/>
  <c r="H103" i="2" s="1"/>
  <c r="E41" i="4" l="1"/>
  <c r="F48" i="4"/>
  <c r="E9" i="4"/>
  <c r="F7" i="4"/>
  <c r="F19" i="4"/>
  <c r="F21" i="4" s="1"/>
  <c r="E21" i="4"/>
  <c r="F13" i="4"/>
  <c r="E15" i="4"/>
  <c r="E104" i="2"/>
  <c r="E106" i="2" s="1"/>
  <c r="C13" i="3" s="1"/>
  <c r="F104" i="2"/>
  <c r="F106" i="2" s="1"/>
  <c r="D13" i="3" s="1"/>
  <c r="C35" i="1"/>
  <c r="F15" i="4" l="1"/>
  <c r="F41" i="4"/>
  <c r="F9" i="4"/>
  <c r="E80" i="2"/>
  <c r="F80" i="2"/>
  <c r="G80" i="2"/>
  <c r="H80" i="2"/>
  <c r="E79" i="2"/>
  <c r="E81" i="2" s="1"/>
  <c r="C82" i="1"/>
  <c r="C83" i="1" s="1"/>
  <c r="D79" i="2" s="1"/>
  <c r="E82" i="1"/>
  <c r="E83" i="1" s="1"/>
  <c r="F79" i="2" s="1"/>
  <c r="F82" i="1"/>
  <c r="F83" i="1" s="1"/>
  <c r="G79" i="2" s="1"/>
  <c r="G82" i="1"/>
  <c r="G83" i="1" s="1"/>
  <c r="H79" i="2" s="1"/>
  <c r="H81" i="2" s="1"/>
  <c r="B82" i="1"/>
  <c r="A82" i="1"/>
  <c r="C98" i="1"/>
  <c r="D80" i="2" s="1"/>
  <c r="F81" i="2" l="1"/>
  <c r="G81" i="2"/>
  <c r="D81" i="2"/>
  <c r="E46" i="2" l="1"/>
  <c r="F46" i="2"/>
  <c r="G46" i="2"/>
  <c r="H46" i="2"/>
  <c r="D46" i="2"/>
  <c r="D90" i="1"/>
  <c r="E90" i="1"/>
  <c r="F90" i="1"/>
  <c r="G90" i="1"/>
  <c r="C90" i="1"/>
  <c r="D71" i="2" l="1"/>
  <c r="D72" i="2" s="1"/>
  <c r="C92" i="1"/>
  <c r="E71" i="2"/>
  <c r="E72" i="2" s="1"/>
  <c r="D92" i="1"/>
  <c r="F71" i="2"/>
  <c r="F72" i="2" s="1"/>
  <c r="E92" i="1"/>
  <c r="G71" i="2"/>
  <c r="G72" i="2" s="1"/>
  <c r="F92" i="1"/>
  <c r="H71" i="2"/>
  <c r="H72" i="2" s="1"/>
  <c r="G92" i="1"/>
  <c r="F48" i="2"/>
  <c r="D21" i="3" s="1"/>
  <c r="E48" i="2"/>
  <c r="C21" i="3" s="1"/>
  <c r="C72" i="1"/>
  <c r="D34" i="2" s="1"/>
  <c r="B13" i="5" s="1"/>
  <c r="F72" i="1"/>
  <c r="G34" i="2" s="1"/>
  <c r="E72" i="1"/>
  <c r="F34" i="2" s="1"/>
  <c r="D13" i="5" s="1"/>
  <c r="D72" i="1"/>
  <c r="E34" i="2" s="1"/>
  <c r="G72" i="1"/>
  <c r="E22" i="2"/>
  <c r="F22" i="2"/>
  <c r="G22" i="2"/>
  <c r="H22" i="2"/>
  <c r="E23" i="2"/>
  <c r="F23" i="2"/>
  <c r="G23" i="2"/>
  <c r="H23" i="2"/>
  <c r="D23" i="2"/>
  <c r="D22" i="2"/>
  <c r="D56" i="1"/>
  <c r="E56" i="1"/>
  <c r="F56" i="1"/>
  <c r="G56" i="1"/>
  <c r="C56" i="1"/>
  <c r="D48" i="1"/>
  <c r="E48" i="1"/>
  <c r="F48" i="1"/>
  <c r="G48" i="1"/>
  <c r="C48" i="1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D20" i="2"/>
  <c r="D19" i="2"/>
  <c r="D18" i="2"/>
  <c r="D17" i="2"/>
  <c r="E15" i="2"/>
  <c r="F15" i="2"/>
  <c r="G15" i="2"/>
  <c r="H15" i="2"/>
  <c r="D15" i="2"/>
  <c r="E14" i="2"/>
  <c r="F14" i="2"/>
  <c r="G14" i="2"/>
  <c r="H14" i="2"/>
  <c r="D14" i="2"/>
  <c r="E13" i="2"/>
  <c r="F13" i="2"/>
  <c r="G13" i="2"/>
  <c r="H13" i="2"/>
  <c r="D13" i="2"/>
  <c r="E12" i="2"/>
  <c r="F12" i="2"/>
  <c r="G12" i="2"/>
  <c r="H12" i="2"/>
  <c r="D12" i="2"/>
  <c r="E11" i="2"/>
  <c r="F11" i="2"/>
  <c r="G11" i="2"/>
  <c r="H11" i="2"/>
  <c r="D11" i="2"/>
  <c r="E10" i="2"/>
  <c r="F10" i="2"/>
  <c r="G10" i="2"/>
  <c r="H10" i="2"/>
  <c r="D10" i="2"/>
  <c r="E9" i="2"/>
  <c r="F9" i="2"/>
  <c r="G9" i="2"/>
  <c r="H9" i="2"/>
  <c r="D9" i="2"/>
  <c r="E5" i="2"/>
  <c r="C3" i="5" s="1"/>
  <c r="C12" i="5" s="1"/>
  <c r="F5" i="2"/>
  <c r="D3" i="5" s="1"/>
  <c r="D12" i="5" s="1"/>
  <c r="G5" i="2"/>
  <c r="E3" i="5" s="1"/>
  <c r="E12" i="5" s="1"/>
  <c r="H5" i="2"/>
  <c r="F3" i="5" s="1"/>
  <c r="F12" i="5" s="1"/>
  <c r="D5" i="2"/>
  <c r="B3" i="5" s="1"/>
  <c r="D39" i="1"/>
  <c r="E39" i="1"/>
  <c r="F39" i="1"/>
  <c r="G39" i="1"/>
  <c r="C39" i="1"/>
  <c r="C19" i="1"/>
  <c r="D35" i="1"/>
  <c r="E35" i="1"/>
  <c r="F35" i="1"/>
  <c r="G35" i="1"/>
  <c r="D19" i="1"/>
  <c r="E7" i="2" s="1"/>
  <c r="E19" i="1"/>
  <c r="F7" i="2" s="1"/>
  <c r="F19" i="1"/>
  <c r="G7" i="2" s="1"/>
  <c r="G19" i="1"/>
  <c r="H7" i="2" s="1"/>
  <c r="B39" i="4" l="1"/>
  <c r="B12" i="5"/>
  <c r="C20" i="5"/>
  <c r="E14" i="3"/>
  <c r="E13" i="5"/>
  <c r="C14" i="3"/>
  <c r="C13" i="5"/>
  <c r="D7" i="5"/>
  <c r="C7" i="5"/>
  <c r="E7" i="5"/>
  <c r="B7" i="5"/>
  <c r="F7" i="5"/>
  <c r="H34" i="2"/>
  <c r="D40" i="2"/>
  <c r="D59" i="2" s="1"/>
  <c r="B14" i="3"/>
  <c r="F36" i="2"/>
  <c r="D14" i="3"/>
  <c r="G58" i="1"/>
  <c r="F58" i="1"/>
  <c r="C58" i="1"/>
  <c r="E40" i="2"/>
  <c r="E42" i="2" s="1"/>
  <c r="C18" i="5" s="1"/>
  <c r="F40" i="2"/>
  <c r="F42" i="2" s="1"/>
  <c r="D18" i="5" s="1"/>
  <c r="G36" i="2"/>
  <c r="E58" i="1"/>
  <c r="F7" i="3"/>
  <c r="D58" i="1"/>
  <c r="B7" i="3"/>
  <c r="D7" i="3"/>
  <c r="E7" i="3"/>
  <c r="C7" i="3"/>
  <c r="G40" i="2"/>
  <c r="H6" i="2"/>
  <c r="H26" i="2" s="1"/>
  <c r="F5" i="5" s="1"/>
  <c r="H35" i="2"/>
  <c r="H47" i="2" s="1"/>
  <c r="H48" i="2" s="1"/>
  <c r="F21" i="3" s="1"/>
  <c r="E6" i="2"/>
  <c r="E26" i="2" s="1"/>
  <c r="C5" i="5" s="1"/>
  <c r="E35" i="2"/>
  <c r="E47" i="2" s="1"/>
  <c r="E37" i="1"/>
  <c r="E41" i="1" s="1"/>
  <c r="F35" i="2"/>
  <c r="F47" i="2" s="1"/>
  <c r="C37" i="1"/>
  <c r="C41" i="1" s="1"/>
  <c r="E36" i="2"/>
  <c r="D6" i="2"/>
  <c r="D26" i="2" s="1"/>
  <c r="B5" i="5" s="1"/>
  <c r="D35" i="2"/>
  <c r="G6" i="2"/>
  <c r="G8" i="2" s="1"/>
  <c r="G16" i="2" s="1"/>
  <c r="G35" i="2"/>
  <c r="G47" i="2" s="1"/>
  <c r="G48" i="2" s="1"/>
  <c r="E21" i="3" s="1"/>
  <c r="H89" i="2"/>
  <c r="G89" i="2"/>
  <c r="D89" i="2"/>
  <c r="F89" i="2"/>
  <c r="E89" i="2"/>
  <c r="F27" i="2"/>
  <c r="E27" i="2"/>
  <c r="H27" i="2"/>
  <c r="G27" i="2"/>
  <c r="H33" i="2"/>
  <c r="H39" i="2" s="1"/>
  <c r="H45" i="2" s="1"/>
  <c r="H51" i="2" s="1"/>
  <c r="F3" i="3"/>
  <c r="F33" i="2"/>
  <c r="F39" i="2" s="1"/>
  <c r="F45" i="2" s="1"/>
  <c r="F51" i="2" s="1"/>
  <c r="D3" i="3"/>
  <c r="D12" i="3" s="1"/>
  <c r="G33" i="2"/>
  <c r="G39" i="2" s="1"/>
  <c r="G45" i="2" s="1"/>
  <c r="G51" i="2" s="1"/>
  <c r="E3" i="3"/>
  <c r="E12" i="3" s="1"/>
  <c r="E33" i="2"/>
  <c r="E39" i="2" s="1"/>
  <c r="E45" i="2" s="1"/>
  <c r="E51" i="2" s="1"/>
  <c r="C3" i="3"/>
  <c r="C12" i="3" s="1"/>
  <c r="D33" i="2"/>
  <c r="D39" i="2" s="1"/>
  <c r="D45" i="2" s="1"/>
  <c r="D51" i="2" s="1"/>
  <c r="B3" i="3"/>
  <c r="B12" i="3" s="1"/>
  <c r="F6" i="2"/>
  <c r="D7" i="2"/>
  <c r="G37" i="1"/>
  <c r="G41" i="1" s="1"/>
  <c r="F37" i="1"/>
  <c r="F41" i="1" s="1"/>
  <c r="D37" i="1"/>
  <c r="D41" i="1" s="1"/>
  <c r="D21" i="1"/>
  <c r="D43" i="1" s="1"/>
  <c r="D50" i="1" s="1"/>
  <c r="D85" i="1" s="1"/>
  <c r="D61" i="1" s="1"/>
  <c r="E21" i="1"/>
  <c r="E43" i="1" s="1"/>
  <c r="E50" i="1" s="1"/>
  <c r="E85" i="1" s="1"/>
  <c r="E61" i="1" s="1"/>
  <c r="F21" i="1"/>
  <c r="F43" i="1" s="1"/>
  <c r="F50" i="1" s="1"/>
  <c r="F85" i="1" s="1"/>
  <c r="F61" i="1" s="1"/>
  <c r="G21" i="1"/>
  <c r="G43" i="1" s="1"/>
  <c r="G50" i="1" s="1"/>
  <c r="G85" i="1" s="1"/>
  <c r="G61" i="1" s="1"/>
  <c r="C21" i="1"/>
  <c r="C43" i="1" s="1"/>
  <c r="C50" i="1" s="1"/>
  <c r="C85" i="1" s="1"/>
  <c r="C61" i="1" s="1"/>
  <c r="B42" i="4" l="1"/>
  <c r="B90" i="4" s="1"/>
  <c r="G7" i="5" s="1"/>
  <c r="C39" i="4"/>
  <c r="D39" i="4" s="1"/>
  <c r="G21" i="2"/>
  <c r="G24" i="2" s="1"/>
  <c r="G104" i="2"/>
  <c r="G106" i="2" s="1"/>
  <c r="E13" i="3" s="1"/>
  <c r="I7" i="3"/>
  <c r="C42" i="4"/>
  <c r="C90" i="4" s="1"/>
  <c r="H7" i="5" s="1"/>
  <c r="H40" i="2"/>
  <c r="H59" i="2" s="1"/>
  <c r="H64" i="2" s="1"/>
  <c r="H66" i="2" s="1"/>
  <c r="B25" i="4"/>
  <c r="B36" i="4" s="1"/>
  <c r="B38" i="4" s="1"/>
  <c r="E9" i="3"/>
  <c r="E9" i="5"/>
  <c r="C9" i="3"/>
  <c r="C9" i="5"/>
  <c r="D9" i="3"/>
  <c r="D9" i="5"/>
  <c r="F9" i="3"/>
  <c r="F9" i="5"/>
  <c r="H36" i="2"/>
  <c r="F19" i="3" s="1"/>
  <c r="B9" i="3"/>
  <c r="B9" i="5"/>
  <c r="C19" i="3"/>
  <c r="C17" i="5"/>
  <c r="E19" i="3"/>
  <c r="E17" i="5"/>
  <c r="D19" i="3"/>
  <c r="D17" i="5"/>
  <c r="E4" i="3"/>
  <c r="E4" i="5"/>
  <c r="F4" i="3"/>
  <c r="F4" i="5"/>
  <c r="F6" i="5" s="1"/>
  <c r="F8" i="5" s="1"/>
  <c r="D4" i="3"/>
  <c r="D4" i="5"/>
  <c r="C4" i="3"/>
  <c r="C4" i="5"/>
  <c r="C6" i="5" s="1"/>
  <c r="C8" i="5" s="1"/>
  <c r="F14" i="3"/>
  <c r="F13" i="5"/>
  <c r="F12" i="3"/>
  <c r="B5" i="4"/>
  <c r="G3" i="5" s="1"/>
  <c r="D64" i="2"/>
  <c r="F69" i="2"/>
  <c r="F78" i="2" s="1"/>
  <c r="F87" i="2" s="1"/>
  <c r="F93" i="2" s="1"/>
  <c r="F102" i="2" s="1"/>
  <c r="F57" i="2"/>
  <c r="F63" i="2" s="1"/>
  <c r="H69" i="2"/>
  <c r="H78" i="2" s="1"/>
  <c r="H87" i="2" s="1"/>
  <c r="H93" i="2" s="1"/>
  <c r="H102" i="2" s="1"/>
  <c r="H57" i="2"/>
  <c r="H63" i="2" s="1"/>
  <c r="C20" i="3"/>
  <c r="E59" i="2"/>
  <c r="E64" i="2" s="1"/>
  <c r="G59" i="2"/>
  <c r="G64" i="2" s="1"/>
  <c r="D69" i="2"/>
  <c r="D78" i="2" s="1"/>
  <c r="D87" i="2" s="1"/>
  <c r="D93" i="2" s="1"/>
  <c r="D102" i="2" s="1"/>
  <c r="D57" i="2"/>
  <c r="D63" i="2" s="1"/>
  <c r="G69" i="2"/>
  <c r="G78" i="2" s="1"/>
  <c r="G87" i="2" s="1"/>
  <c r="G93" i="2" s="1"/>
  <c r="G102" i="2" s="1"/>
  <c r="G57" i="2"/>
  <c r="G63" i="2" s="1"/>
  <c r="D20" i="3"/>
  <c r="F59" i="2"/>
  <c r="F64" i="2" s="1"/>
  <c r="E69" i="2"/>
  <c r="E78" i="2" s="1"/>
  <c r="E87" i="2" s="1"/>
  <c r="E93" i="2" s="1"/>
  <c r="E102" i="2" s="1"/>
  <c r="E57" i="2"/>
  <c r="E63" i="2" s="1"/>
  <c r="H7" i="3"/>
  <c r="H95" i="2"/>
  <c r="F5" i="3"/>
  <c r="D95" i="2"/>
  <c r="B5" i="3"/>
  <c r="E95" i="2"/>
  <c r="C5" i="3"/>
  <c r="H8" i="2"/>
  <c r="H16" i="2" s="1"/>
  <c r="G26" i="2"/>
  <c r="E5" i="5" s="1"/>
  <c r="E8" i="2"/>
  <c r="E16" i="2" s="1"/>
  <c r="E21" i="2" s="1"/>
  <c r="E24" i="2" s="1"/>
  <c r="G74" i="1"/>
  <c r="G94" i="1"/>
  <c r="G100" i="1" s="1"/>
  <c r="G103" i="1" s="1"/>
  <c r="F94" i="1"/>
  <c r="F100" i="1" s="1"/>
  <c r="F103" i="1" s="1"/>
  <c r="F74" i="1"/>
  <c r="C74" i="1"/>
  <c r="C94" i="1"/>
  <c r="C100" i="1" s="1"/>
  <c r="C103" i="1" s="1"/>
  <c r="E94" i="1"/>
  <c r="E100" i="1" s="1"/>
  <c r="E103" i="1" s="1"/>
  <c r="E74" i="1"/>
  <c r="D47" i="2"/>
  <c r="D48" i="2" s="1"/>
  <c r="B21" i="3" s="1"/>
  <c r="D36" i="2"/>
  <c r="D94" i="1"/>
  <c r="D100" i="1" s="1"/>
  <c r="D103" i="1" s="1"/>
  <c r="D74" i="1"/>
  <c r="H28" i="2"/>
  <c r="E28" i="2"/>
  <c r="D8" i="2"/>
  <c r="D16" i="2" s="1"/>
  <c r="D27" i="2"/>
  <c r="B4" i="5" s="1"/>
  <c r="B6" i="5" s="1"/>
  <c r="B8" i="5" s="1"/>
  <c r="F8" i="2"/>
  <c r="F16" i="2" s="1"/>
  <c r="F21" i="2" s="1"/>
  <c r="F24" i="2" s="1"/>
  <c r="F26" i="2"/>
  <c r="G41" i="2"/>
  <c r="G52" i="2" s="1"/>
  <c r="G54" i="2" s="1"/>
  <c r="E14" i="5" s="1"/>
  <c r="E39" i="4" l="1"/>
  <c r="F39" i="4" s="1"/>
  <c r="D42" i="4"/>
  <c r="G42" i="2"/>
  <c r="I9" i="3"/>
  <c r="I5" i="3"/>
  <c r="H21" i="2"/>
  <c r="H41" i="2" s="1"/>
  <c r="H52" i="2" s="1"/>
  <c r="H54" i="2" s="1"/>
  <c r="F14" i="5" s="1"/>
  <c r="H104" i="2"/>
  <c r="H106" i="2" s="1"/>
  <c r="F13" i="3" s="1"/>
  <c r="B53" i="4"/>
  <c r="B87" i="4" s="1"/>
  <c r="E42" i="4"/>
  <c r="D90" i="4"/>
  <c r="I7" i="5" s="1"/>
  <c r="F17" i="5"/>
  <c r="H9" i="3"/>
  <c r="C6" i="3"/>
  <c r="C8" i="3" s="1"/>
  <c r="G12" i="5"/>
  <c r="E6" i="5"/>
  <c r="E8" i="5" s="1"/>
  <c r="G66" i="2"/>
  <c r="E15" i="5" s="1"/>
  <c r="D66" i="2"/>
  <c r="B15" i="5" s="1"/>
  <c r="F66" i="2"/>
  <c r="D15" i="5" s="1"/>
  <c r="E66" i="2"/>
  <c r="C15" i="5" s="1"/>
  <c r="H42" i="2"/>
  <c r="F18" i="5" s="1"/>
  <c r="D5" i="3"/>
  <c r="D6" i="3" s="1"/>
  <c r="D8" i="3" s="1"/>
  <c r="D5" i="5"/>
  <c r="D6" i="5" s="1"/>
  <c r="D8" i="5" s="1"/>
  <c r="B19" i="3"/>
  <c r="B17" i="5"/>
  <c r="E10" i="3"/>
  <c r="E10" i="5"/>
  <c r="C10" i="3"/>
  <c r="C10" i="5"/>
  <c r="D10" i="3"/>
  <c r="D10" i="5"/>
  <c r="F17" i="3"/>
  <c r="F15" i="5"/>
  <c r="B11" i="4"/>
  <c r="B17" i="4" s="1"/>
  <c r="C5" i="4"/>
  <c r="H3" i="5" s="1"/>
  <c r="H12" i="5" s="1"/>
  <c r="G58" i="2"/>
  <c r="G60" i="2" s="1"/>
  <c r="E16" i="3" s="1"/>
  <c r="E15" i="3"/>
  <c r="D21" i="2"/>
  <c r="D24" i="2" s="1"/>
  <c r="D104" i="2"/>
  <c r="D106" i="2" s="1"/>
  <c r="B13" i="3" s="1"/>
  <c r="E41" i="2"/>
  <c r="E52" i="2" s="1"/>
  <c r="E54" i="2" s="1"/>
  <c r="C14" i="5" s="1"/>
  <c r="G95" i="2"/>
  <c r="E5" i="3"/>
  <c r="E6" i="3" s="1"/>
  <c r="E8" i="3" s="1"/>
  <c r="G28" i="2"/>
  <c r="G94" i="2" s="1"/>
  <c r="G96" i="2" s="1"/>
  <c r="D28" i="2"/>
  <c r="D94" i="2" s="1"/>
  <c r="D96" i="2" s="1"/>
  <c r="B4" i="3"/>
  <c r="I4" i="3" s="1"/>
  <c r="F6" i="3"/>
  <c r="H94" i="2"/>
  <c r="H96" i="2" s="1"/>
  <c r="H88" i="2"/>
  <c r="H90" i="2" s="1"/>
  <c r="F28" i="2"/>
  <c r="F95" i="2"/>
  <c r="E94" i="2"/>
  <c r="E96" i="2" s="1"/>
  <c r="E88" i="2"/>
  <c r="E90" i="2" s="1"/>
  <c r="F41" i="2"/>
  <c r="F52" i="2" s="1"/>
  <c r="F54" i="2" s="1"/>
  <c r="D14" i="5" s="1"/>
  <c r="E18" i="5" l="1"/>
  <c r="E20" i="3"/>
  <c r="H58" i="2"/>
  <c r="H60" i="2" s="1"/>
  <c r="F16" i="3" s="1"/>
  <c r="F15" i="3"/>
  <c r="H24" i="2"/>
  <c r="F10" i="5" s="1"/>
  <c r="F42" i="4"/>
  <c r="F90" i="4" s="1"/>
  <c r="K7" i="5" s="1"/>
  <c r="E90" i="4"/>
  <c r="J7" i="5" s="1"/>
  <c r="C104" i="4"/>
  <c r="B29" i="4"/>
  <c r="B55" i="4" s="1"/>
  <c r="B86" i="4" s="1"/>
  <c r="B102" i="4" s="1"/>
  <c r="B108" i="4" s="1"/>
  <c r="B114" i="4" s="1"/>
  <c r="B24" i="4"/>
  <c r="G4" i="5"/>
  <c r="C17" i="3"/>
  <c r="F20" i="3"/>
  <c r="D17" i="3"/>
  <c r="B17" i="3"/>
  <c r="E17" i="3"/>
  <c r="B10" i="3"/>
  <c r="B10" i="5"/>
  <c r="C11" i="4"/>
  <c r="D5" i="4"/>
  <c r="I3" i="5" s="1"/>
  <c r="I12" i="5" s="1"/>
  <c r="E58" i="2"/>
  <c r="E60" i="2" s="1"/>
  <c r="C16" i="3" s="1"/>
  <c r="C15" i="3"/>
  <c r="F58" i="2"/>
  <c r="F60" i="2" s="1"/>
  <c r="D16" i="3" s="1"/>
  <c r="D15" i="3"/>
  <c r="D41" i="2"/>
  <c r="D52" i="2" s="1"/>
  <c r="D54" i="2" s="1"/>
  <c r="B14" i="5" s="1"/>
  <c r="H5" i="3"/>
  <c r="G88" i="2"/>
  <c r="G90" i="2" s="1"/>
  <c r="H4" i="3"/>
  <c r="D88" i="2"/>
  <c r="D90" i="2" s="1"/>
  <c r="B6" i="3"/>
  <c r="I6" i="3" s="1"/>
  <c r="F8" i="3"/>
  <c r="F94" i="2"/>
  <c r="F96" i="2" s="1"/>
  <c r="F88" i="2"/>
  <c r="F90" i="2" s="1"/>
  <c r="F10" i="3" l="1"/>
  <c r="I10" i="3" s="1"/>
  <c r="D58" i="4"/>
  <c r="D81" i="4" s="1"/>
  <c r="C88" i="4"/>
  <c r="E35" i="4"/>
  <c r="F33" i="4" s="1"/>
  <c r="B120" i="4"/>
  <c r="B129" i="4" s="1"/>
  <c r="B135" i="4" s="1"/>
  <c r="C17" i="4"/>
  <c r="C24" i="4" s="1"/>
  <c r="D42" i="2"/>
  <c r="B18" i="5" s="1"/>
  <c r="B89" i="4"/>
  <c r="B92" i="4" s="1"/>
  <c r="B96" i="4" s="1"/>
  <c r="G5" i="5"/>
  <c r="C137" i="4"/>
  <c r="D11" i="4"/>
  <c r="E5" i="4"/>
  <c r="J3" i="5" s="1"/>
  <c r="J12" i="5" s="1"/>
  <c r="D58" i="2"/>
  <c r="D60" i="2" s="1"/>
  <c r="B16" i="3" s="1"/>
  <c r="B15" i="3"/>
  <c r="H6" i="3"/>
  <c r="B8" i="3"/>
  <c r="H10" i="3" l="1"/>
  <c r="E56" i="4"/>
  <c r="E58" i="4" s="1"/>
  <c r="E81" i="4" s="1"/>
  <c r="D104" i="4"/>
  <c r="D137" i="4" s="1"/>
  <c r="D88" i="4"/>
  <c r="F35" i="4"/>
  <c r="H8" i="3"/>
  <c r="H15" i="3" s="1"/>
  <c r="D20" i="5" s="1"/>
  <c r="I8" i="3"/>
  <c r="D17" i="4"/>
  <c r="D24" i="4" s="1"/>
  <c r="C29" i="4"/>
  <c r="C55" i="4" s="1"/>
  <c r="C86" i="4" s="1"/>
  <c r="C102" i="4" s="1"/>
  <c r="C108" i="4" s="1"/>
  <c r="B20" i="3"/>
  <c r="G6" i="5"/>
  <c r="H5" i="5"/>
  <c r="F5" i="4"/>
  <c r="E11" i="4"/>
  <c r="E88" i="4" l="1"/>
  <c r="F56" i="4"/>
  <c r="F58" i="4" s="1"/>
  <c r="F81" i="4" s="1"/>
  <c r="D29" i="4"/>
  <c r="D55" i="4" s="1"/>
  <c r="D86" i="4" s="1"/>
  <c r="D102" i="4" s="1"/>
  <c r="D108" i="4" s="1"/>
  <c r="E17" i="4"/>
  <c r="E24" i="4" s="1"/>
  <c r="C120" i="4"/>
  <c r="C129" i="4" s="1"/>
  <c r="C135" i="4" s="1"/>
  <c r="C114" i="4"/>
  <c r="I5" i="5"/>
  <c r="F11" i="4"/>
  <c r="K3" i="5"/>
  <c r="G8" i="5"/>
  <c r="C25" i="4"/>
  <c r="B110" i="4"/>
  <c r="B94" i="4"/>
  <c r="G10" i="5" s="1"/>
  <c r="E104" i="4" l="1"/>
  <c r="E137" i="4" s="1"/>
  <c r="F88" i="4"/>
  <c r="F104" i="4"/>
  <c r="F137" i="4" s="1"/>
  <c r="C36" i="4"/>
  <c r="C38" i="4" s="1"/>
  <c r="C53" i="4" s="1"/>
  <c r="C87" i="4" s="1"/>
  <c r="E29" i="4"/>
  <c r="E55" i="4" s="1"/>
  <c r="E86" i="4" s="1"/>
  <c r="E102" i="4" s="1"/>
  <c r="E108" i="4" s="1"/>
  <c r="E120" i="4" s="1"/>
  <c r="E129" i="4" s="1"/>
  <c r="E135" i="4" s="1"/>
  <c r="D114" i="4"/>
  <c r="D120" i="4"/>
  <c r="D129" i="4" s="1"/>
  <c r="D135" i="4" s="1"/>
  <c r="F17" i="4"/>
  <c r="F24" i="4" s="1"/>
  <c r="K12" i="5"/>
  <c r="G20" i="5"/>
  <c r="G13" i="5"/>
  <c r="B103" i="4"/>
  <c r="J5" i="5"/>
  <c r="K5" i="5"/>
  <c r="B115" i="4"/>
  <c r="B117" i="4" s="1"/>
  <c r="G14" i="5" s="1"/>
  <c r="B130" i="4"/>
  <c r="B132" i="4" s="1"/>
  <c r="E114" i="4" l="1"/>
  <c r="H4" i="5"/>
  <c r="D32" i="4"/>
  <c r="E30" i="4" s="1"/>
  <c r="F29" i="4"/>
  <c r="F55" i="4" s="1"/>
  <c r="F86" i="4" s="1"/>
  <c r="F102" i="4" s="1"/>
  <c r="F108" i="4" s="1"/>
  <c r="B136" i="4"/>
  <c r="B138" i="4" s="1"/>
  <c r="B109" i="4"/>
  <c r="B105" i="4"/>
  <c r="G17" i="5" s="1"/>
  <c r="C89" i="4" l="1"/>
  <c r="C92" i="4" s="1"/>
  <c r="F114" i="4"/>
  <c r="F120" i="4"/>
  <c r="F129" i="4" s="1"/>
  <c r="F135" i="4" s="1"/>
  <c r="B111" i="4"/>
  <c r="G18" i="5" s="1"/>
  <c r="B121" i="4"/>
  <c r="B123" i="4" s="1"/>
  <c r="G15" i="5" s="1"/>
  <c r="C96" i="4" l="1"/>
  <c r="D25" i="4" s="1"/>
  <c r="D36" i="4" s="1"/>
  <c r="D38" i="4" s="1"/>
  <c r="D53" i="4" s="1"/>
  <c r="D45" i="4"/>
  <c r="E43" i="4" s="1"/>
  <c r="H6" i="5"/>
  <c r="D87" i="4" l="1"/>
  <c r="C110" i="4"/>
  <c r="C130" i="4" s="1"/>
  <c r="C136" i="4" s="1"/>
  <c r="C138" i="4" s="1"/>
  <c r="H13" i="5"/>
  <c r="C103" i="4"/>
  <c r="C109" i="4" s="1"/>
  <c r="H8" i="5"/>
  <c r="C94" i="4"/>
  <c r="H10" i="5" s="1"/>
  <c r="C132" i="4" l="1"/>
  <c r="C105" i="4"/>
  <c r="H17" i="5" s="1"/>
  <c r="C115" i="4"/>
  <c r="C117" i="4" s="1"/>
  <c r="H14" i="5" s="1"/>
  <c r="C111" i="4"/>
  <c r="H18" i="5" s="1"/>
  <c r="C121" i="4"/>
  <c r="C123" i="4" s="1"/>
  <c r="H15" i="5" s="1"/>
  <c r="D89" i="4" l="1"/>
  <c r="E32" i="4"/>
  <c r="F30" i="4" s="1"/>
  <c r="E45" i="4" l="1"/>
  <c r="F43" i="4" s="1"/>
  <c r="D92" i="4"/>
  <c r="I4" i="5"/>
  <c r="D96" i="4"/>
  <c r="E25" i="4" s="1"/>
  <c r="I6" i="5"/>
  <c r="I8" i="5" l="1"/>
  <c r="D94" i="4"/>
  <c r="I10" i="5" s="1"/>
  <c r="D110" i="4"/>
  <c r="E36" i="4" l="1"/>
  <c r="E38" i="4" s="1"/>
  <c r="E53" i="4" s="1"/>
  <c r="E87" i="4" s="1"/>
  <c r="D103" i="4"/>
  <c r="I13" i="5"/>
  <c r="D130" i="4"/>
  <c r="D115" i="4"/>
  <c r="D117" i="4" s="1"/>
  <c r="I14" i="5" s="1"/>
  <c r="D109" i="4" l="1"/>
  <c r="D105" i="4"/>
  <c r="I17" i="5" s="1"/>
  <c r="D132" i="4"/>
  <c r="D136" i="4"/>
  <c r="D138" i="4" s="1"/>
  <c r="J4" i="5" l="1"/>
  <c r="F32" i="4"/>
  <c r="D111" i="4"/>
  <c r="I18" i="5" s="1"/>
  <c r="D121" i="4"/>
  <c r="D123" i="4" s="1"/>
  <c r="I15" i="5" s="1"/>
  <c r="E89" i="4" l="1"/>
  <c r="E92" i="4" s="1"/>
  <c r="J6" i="5" l="1"/>
  <c r="F45" i="4"/>
  <c r="E96" i="4"/>
  <c r="J8" i="5" l="1"/>
  <c r="E110" i="4"/>
  <c r="E130" i="4" s="1"/>
  <c r="E94" i="4"/>
  <c r="J10" i="5" s="1"/>
  <c r="F25" i="4"/>
  <c r="J13" i="5"/>
  <c r="E103" i="4"/>
  <c r="F36" i="4" l="1"/>
  <c r="F38" i="4" s="1"/>
  <c r="F53" i="4" s="1"/>
  <c r="F87" i="4" s="1"/>
  <c r="E115" i="4"/>
  <c r="E117" i="4" s="1"/>
  <c r="J14" i="5" s="1"/>
  <c r="E105" i="4"/>
  <c r="J17" i="5" s="1"/>
  <c r="E109" i="4"/>
  <c r="E132" i="4"/>
  <c r="E136" i="4"/>
  <c r="E138" i="4" s="1"/>
  <c r="F89" i="4" l="1"/>
  <c r="K4" i="5"/>
  <c r="E121" i="4"/>
  <c r="E123" i="4" s="1"/>
  <c r="J15" i="5" s="1"/>
  <c r="E111" i="4"/>
  <c r="J18" i="5" s="1"/>
  <c r="F92" i="4" l="1"/>
  <c r="F110" i="4" s="1"/>
  <c r="K6" i="5"/>
  <c r="F96" i="4" l="1"/>
  <c r="K13" i="5" s="1"/>
  <c r="F94" i="4"/>
  <c r="K10" i="5" s="1"/>
  <c r="K8" i="5"/>
  <c r="H20" i="5" s="1"/>
  <c r="F115" i="4"/>
  <c r="F117" i="4" s="1"/>
  <c r="K14" i="5" s="1"/>
  <c r="F130" i="4"/>
  <c r="F103" i="4" l="1"/>
  <c r="F105" i="4" s="1"/>
  <c r="K17" i="5" s="1"/>
  <c r="F136" i="4"/>
  <c r="F138" i="4" s="1"/>
  <c r="F132" i="4"/>
  <c r="F109" i="4" l="1"/>
  <c r="F121" i="4" s="1"/>
  <c r="F123" i="4" s="1"/>
  <c r="K15" i="5" s="1"/>
  <c r="F111" i="4" l="1"/>
  <c r="K18" i="5" s="1"/>
</calcChain>
</file>

<file path=xl/sharedStrings.xml><?xml version="1.0" encoding="utf-8"?>
<sst xmlns="http://schemas.openxmlformats.org/spreadsheetml/2006/main" count="455" uniqueCount="277">
  <si>
    <t>Autorités et personnel</t>
  </si>
  <si>
    <t>Biens, services, marchandises</t>
  </si>
  <si>
    <t>Intérêts passifs</t>
  </si>
  <si>
    <t>Amortissements</t>
  </si>
  <si>
    <t>Remboursements, participations et subv.</t>
  </si>
  <si>
    <t>Aides et subventions</t>
  </si>
  <si>
    <t>Attributions aux fonds et aux financements spéciaux</t>
  </si>
  <si>
    <t>Imputations internes</t>
  </si>
  <si>
    <t>Impôts</t>
  </si>
  <si>
    <t>Patentes, concessions</t>
  </si>
  <si>
    <t>Revenus du patrimoine</t>
  </si>
  <si>
    <t>Taxes, émoluments, produits des ventes</t>
  </si>
  <si>
    <t>Parts à des recettes cantonales</t>
  </si>
  <si>
    <t>Participations et remboursements de collectivités</t>
  </si>
  <si>
    <t>Prélèvements sur les fonds et financements spéciaux</t>
  </si>
  <si>
    <t>Gains comptables</t>
  </si>
  <si>
    <t>Amortissements du patrimoine financier</t>
  </si>
  <si>
    <t>Amortissements obligatoires du patrimoine administratif</t>
  </si>
  <si>
    <t>Amortissement du découvert</t>
  </si>
  <si>
    <t>Attributions aux financements spéciaux</t>
  </si>
  <si>
    <t>Prélèvements sur les financements spéciaux</t>
  </si>
  <si>
    <t>TOTAL CHARGES</t>
  </si>
  <si>
    <t>TOTAL REVENUS</t>
  </si>
  <si>
    <t>Résultat comptable</t>
  </si>
  <si>
    <t>Contrôle résultats</t>
  </si>
  <si>
    <t>Clôture du compte de fonctionnement (négatif si perte)</t>
  </si>
  <si>
    <t>Analyse financière</t>
  </si>
  <si>
    <t>Cl. Nature</t>
  </si>
  <si>
    <t>Op.</t>
  </si>
  <si>
    <t>Désignation</t>
  </si>
  <si>
    <t>+</t>
  </si>
  <si>
    <t>-</t>
  </si>
  <si>
    <t>=</t>
  </si>
  <si>
    <t>Total des revenus d'exploitation</t>
  </si>
  <si>
    <t>Total des charges d'exploitation</t>
  </si>
  <si>
    <t>SOLDE DE FONCTIONNEMENT</t>
  </si>
  <si>
    <t>Imputations internes (revenus)</t>
  </si>
  <si>
    <t>Amortissements supplémentaires</t>
  </si>
  <si>
    <t>Imputations internes (charges)</t>
  </si>
  <si>
    <t>60 à 67</t>
  </si>
  <si>
    <t>50 à 58</t>
  </si>
  <si>
    <t>MARGE D'AUTOFINANCEMENT</t>
  </si>
  <si>
    <t>Amortissements du patrimoine administratif</t>
  </si>
  <si>
    <t>Recettes d'investissement</t>
  </si>
  <si>
    <t>Dépenses d'investissement</t>
  </si>
  <si>
    <t>Contrôle imputations internes</t>
  </si>
  <si>
    <t>Investissements</t>
  </si>
  <si>
    <t>Prêts et participations permanentes</t>
  </si>
  <si>
    <t>Autres investissements</t>
  </si>
  <si>
    <t>Remboursements de prêts et de participations</t>
  </si>
  <si>
    <t>Subventions</t>
  </si>
  <si>
    <t>Participations de tiers</t>
  </si>
  <si>
    <t>Transferts au patrimoine financier</t>
  </si>
  <si>
    <t>TOTAL DEPENSES</t>
  </si>
  <si>
    <t>TOTAL RECETTES</t>
  </si>
  <si>
    <t>59/69</t>
  </si>
  <si>
    <t>Contrôle dim/augm. investissements</t>
  </si>
  <si>
    <t>Diminution/augmentation invest. (si diminution, négatif)</t>
  </si>
  <si>
    <t>Comptes courants créanciers</t>
  </si>
  <si>
    <t>Engagements envers des entités</t>
  </si>
  <si>
    <t>TOTAL DETTE BRUTE</t>
  </si>
  <si>
    <t>Compte courant auprès d'autres collectivités publiques</t>
  </si>
  <si>
    <t>Epargne (titres et placements)</t>
  </si>
  <si>
    <t>Prêts</t>
  </si>
  <si>
    <t>Prêts et capitaux de dotations</t>
  </si>
  <si>
    <t>TOTAL CAPITAUX</t>
  </si>
  <si>
    <t>Poids de la dette</t>
  </si>
  <si>
    <t>Concepts de résultats</t>
  </si>
  <si>
    <t>Poids de la dette : nombre d'années nécessaires pour rembourser la dette avec les recettes courantes (quotité nette)</t>
  </si>
  <si>
    <t>Dette nette</t>
  </si>
  <si>
    <t>Max. 2.5 ans</t>
  </si>
  <si>
    <t>En nombre d'années</t>
  </si>
  <si>
    <t>Renouvellement de la dette</t>
  </si>
  <si>
    <t>Renouvellement de la dette : nombre d'années nécessaires pour rembourser la dette nette, dans le cas où toute la marge d'autofinancement y est affectée</t>
  </si>
  <si>
    <t>Max. 30 ans</t>
  </si>
  <si>
    <t>Intérêts des dettes à court terme</t>
  </si>
  <si>
    <t>Poids des intérêts passifs</t>
  </si>
  <si>
    <t>Poids des intérêts passifs : part des recettes courantes consacrée au financement des intérêts passifs</t>
  </si>
  <si>
    <t>En %</t>
  </si>
  <si>
    <t>Max. 5-10 %</t>
  </si>
  <si>
    <t>Min. égal au plafond d'endettement</t>
  </si>
  <si>
    <t>En CHF</t>
  </si>
  <si>
    <t>Tableau de bord</t>
  </si>
  <si>
    <t>Résultats</t>
  </si>
  <si>
    <t>Amortissements comptables obligatoires + réserves affectées</t>
  </si>
  <si>
    <t>Coefficient fiscal d'équilibre</t>
  </si>
  <si>
    <t>Ecart à la capacité d'endettement</t>
  </si>
  <si>
    <t>Marge d'autofinancement minimum</t>
  </si>
  <si>
    <t>Moyenne</t>
  </si>
  <si>
    <t>Politique d'amortissement</t>
  </si>
  <si>
    <t>DEPENSES COURANTES</t>
  </si>
  <si>
    <t>RECETTES COURANTES</t>
  </si>
  <si>
    <t>Capacité économique d'endettement : montant maximum d'endettement supportable pour la commune</t>
  </si>
  <si>
    <t>Taux de couverture des réserves</t>
  </si>
  <si>
    <t>Gestion de la dette</t>
  </si>
  <si>
    <t>Degré d'autofinancement : pourcentage des dépenses nettes d'investissement couvertes par la marge d'autofinancement</t>
  </si>
  <si>
    <t>MA / DNI</t>
  </si>
  <si>
    <t>Marge d'autofinancement (MA)</t>
  </si>
  <si>
    <t>Dépenses nettes d'investissement (DNI)</t>
  </si>
  <si>
    <t>Dette brute (D)</t>
  </si>
  <si>
    <t>Amortissements comptables obligatoires (patrim. admin. + fin.) (AO)</t>
  </si>
  <si>
    <t>MA / 30</t>
  </si>
  <si>
    <t>Durée de remboursement maximum, 30 ans</t>
  </si>
  <si>
    <t>Intérêts passifs (IP)</t>
  </si>
  <si>
    <t>Recettes courantes (RC)</t>
  </si>
  <si>
    <t>IP / RC</t>
  </si>
  <si>
    <t>Dette nette (DN)</t>
  </si>
  <si>
    <t>Taux d'autofinancement : pourcentage des revenus courants disponibles pour l'autofinancement</t>
  </si>
  <si>
    <t>Fonds alimentés par des recettes affectées</t>
  </si>
  <si>
    <t>Fonds de renouvellement et de rénovation</t>
  </si>
  <si>
    <t>Fonds de réserve</t>
  </si>
  <si>
    <t>TOTAL FONDS</t>
  </si>
  <si>
    <t>Disponibilités</t>
  </si>
  <si>
    <t>Débiteurs et comptes courants</t>
  </si>
  <si>
    <t>Placements du patrimoine financier</t>
  </si>
  <si>
    <t>Engagements courants</t>
  </si>
  <si>
    <t>Passifs transitoires</t>
  </si>
  <si>
    <t>TOTAL ACTIFS DISPONIBLES NETS</t>
  </si>
  <si>
    <t>Actifs transitoires</t>
  </si>
  <si>
    <t>OK / Insuffisant</t>
  </si>
  <si>
    <t>Bilan</t>
  </si>
  <si>
    <t>Croissance</t>
  </si>
  <si>
    <t>Dépenses d'investissements nets (DNI)</t>
  </si>
  <si>
    <t>SOLDE FINANCIER (SF)</t>
  </si>
  <si>
    <t>Impôts sur le revenu et la fortune</t>
  </si>
  <si>
    <t>Impôts sur le bénéfice et le capital PM</t>
  </si>
  <si>
    <t>Autres</t>
  </si>
  <si>
    <t>Coefficient fiscal d'équilibre : taux d'impôt nécessaire pour équilibrer le compte d'exploitation (solde de fonctionnement épuré = 0)</t>
  </si>
  <si>
    <t>PP + PM</t>
  </si>
  <si>
    <t>Taux d'impôt d'équilibre</t>
  </si>
  <si>
    <t>Ecart à la capacité économique d'endettement : montant maximun pour de nouveaux emprunts</t>
  </si>
  <si>
    <t>Capacité économique d'endettement (CEE)</t>
  </si>
  <si>
    <t>CEE - DN</t>
  </si>
  <si>
    <t>&gt; 0</t>
  </si>
  <si>
    <t>Marge d'autofinancement minimum : marge d'autofinancement minimum tenant compte de la dette nette</t>
  </si>
  <si>
    <t>Banques</t>
  </si>
  <si>
    <t>Comptes chèques postaux</t>
  </si>
  <si>
    <t>CHARGES PAR NATURE</t>
  </si>
  <si>
    <t>REVENUS PAR NATURE</t>
  </si>
  <si>
    <t>DEPENSES D'INVESTISSEMENT</t>
  </si>
  <si>
    <t>RECETTES D'INVESTISSEMENT</t>
  </si>
  <si>
    <t>DETTE BRUTE</t>
  </si>
  <si>
    <t>CAPITAUX (mobilisables à court terme)</t>
  </si>
  <si>
    <t>ACTIFS DISPONIBLES NETS</t>
  </si>
  <si>
    <t>FIN. SPECIAUX ET FONDS DE RESERVES</t>
  </si>
  <si>
    <t>TAUX D'IMPÔT</t>
  </si>
  <si>
    <t>DN / RC</t>
  </si>
  <si>
    <t>DN /MA</t>
  </si>
  <si>
    <t>DN / 30</t>
  </si>
  <si>
    <t>Actifs disponibles nets (ADN)</t>
  </si>
  <si>
    <t>ADN / RCO</t>
  </si>
  <si>
    <t>Réserves comptables (RCO)</t>
  </si>
  <si>
    <t>MA / RC</t>
  </si>
  <si>
    <t>Valeur du point d'impôt PP+PM (VPI)</t>
  </si>
  <si>
    <t>Taux d'impôt effectif (TX)</t>
  </si>
  <si>
    <t>Solde de fonctionnement épuré en pts d'impôt (SFE)</t>
  </si>
  <si>
    <t xml:space="preserve">TX - (SFE / VPI) </t>
  </si>
  <si>
    <t>&gt;80%</t>
  </si>
  <si>
    <t>Cf. document</t>
  </si>
  <si>
    <t>Bon &gt; 20% 
Moyen 10% - 20%</t>
  </si>
  <si>
    <t>Références et indicateurs</t>
  </si>
  <si>
    <t>SOLDE DE FONCTIONNEMENT EPURE (SFE)</t>
  </si>
  <si>
    <t>CORRECTIF AMORTISSEMENTS PATRIMOINE FIN.</t>
  </si>
  <si>
    <t>Amortissements des créances et débiteurs</t>
  </si>
  <si>
    <t>Amortissements des titres et placements</t>
  </si>
  <si>
    <t>Balance actif du bilan (total de l'actif)</t>
  </si>
  <si>
    <t>Fonds de roulement</t>
  </si>
  <si>
    <t xml:space="preserve">Commune : </t>
  </si>
  <si>
    <t>MARGE D'AUTOFINANCEMENT (MA)</t>
  </si>
  <si>
    <t>Prélèvements sur les réserves (sans domaines autofin. 481)</t>
  </si>
  <si>
    <t>Attributions aux réserves (sans domaines autofin. 381)</t>
  </si>
  <si>
    <t>Prélèvements sur les réserves affectées (domaines autofin.)</t>
  </si>
  <si>
    <t>Attributions aux réserves affectées (domaines autofin.)</t>
  </si>
  <si>
    <t>Montants et années des investissements</t>
  </si>
  <si>
    <t>Amortissements comptables</t>
  </si>
  <si>
    <t>Simulation investissements I</t>
  </si>
  <si>
    <t>Exploitation</t>
  </si>
  <si>
    <t>Tx croissance</t>
  </si>
  <si>
    <t>Mouvements réserves domaines affectés antérieurs</t>
  </si>
  <si>
    <t>Nouveaux amortissements comptables</t>
  </si>
  <si>
    <t>MARGES D'AUTOFINANCEMENT (MA)</t>
  </si>
  <si>
    <t>DETTE NETTE PREVISIONNELLE</t>
  </si>
  <si>
    <t>Tableau de bord de l'évaluation prospective</t>
  </si>
  <si>
    <t>Evaluation prospective</t>
  </si>
  <si>
    <t>Capacité économique d'endettement moyenne</t>
  </si>
  <si>
    <t>Durée de vie</t>
  </si>
  <si>
    <t>Simulation investissements II</t>
  </si>
  <si>
    <t>Simulation investissements III</t>
  </si>
  <si>
    <t>Renouvellement de la dette : nombre d'années nécessaires pour rembourser la dette nette</t>
  </si>
  <si>
    <t>TOTAL CHARGES D'EXPLOITATION</t>
  </si>
  <si>
    <t>CAPACITE ECONOMIQUE D'ENDETTEMENT MOYENNE</t>
  </si>
  <si>
    <t>Données - Résumés des comptes</t>
  </si>
  <si>
    <t>Nouvelle valeur</t>
  </si>
  <si>
    <t>Taux d'intérêts moyen</t>
  </si>
  <si>
    <t>Taux d'intérêt</t>
  </si>
  <si>
    <t>Intérêts passifs prévisionnels</t>
  </si>
  <si>
    <t>INTERETS PASSIFS PREVISIONNELS</t>
  </si>
  <si>
    <t>OUI</t>
  </si>
  <si>
    <t>Comptabilisé</t>
  </si>
  <si>
    <t>NON</t>
  </si>
  <si>
    <t>D / 30</t>
  </si>
  <si>
    <t>Poids de la dette : nombre d'années nécessaires pour rembourser la dette nette avec les recettes courantes</t>
  </si>
  <si>
    <t>* y compris les amortissements comptables obligatoires, réserves affectées et mouvements réserves des domaines autofinancés</t>
  </si>
  <si>
    <t>** y compris mouvements réserves des domaines autofinancés</t>
  </si>
  <si>
    <t>Dépenses d'exploitation*</t>
  </si>
  <si>
    <t>Recettes d'exploitation**</t>
  </si>
  <si>
    <t>30 Autorités et personnel</t>
  </si>
  <si>
    <t>Total Autorités et personnel</t>
  </si>
  <si>
    <t>31 Biens, services, marchandises</t>
  </si>
  <si>
    <t>Total Biens, services et personnel</t>
  </si>
  <si>
    <t>32 Intérêts passifs prévisionnels</t>
  </si>
  <si>
    <t>Total Intérêts passifs prévisionnels</t>
  </si>
  <si>
    <t>Montant supplémentaire (+) ou en diminution (-)</t>
  </si>
  <si>
    <t>Total Amortissements comptables</t>
  </si>
  <si>
    <t>33 Amortissements comptables antérieurs</t>
  </si>
  <si>
    <t>35 Remboursements, participations et subv.</t>
  </si>
  <si>
    <t>36 Aides et subventions</t>
  </si>
  <si>
    <t>Total Aides et subventions</t>
  </si>
  <si>
    <t>Total Remboursements, participations et subv.</t>
  </si>
  <si>
    <t>TOTAL DEPENSES*</t>
  </si>
  <si>
    <t>Total Impôts</t>
  </si>
  <si>
    <t>40 Impôts</t>
  </si>
  <si>
    <t>381 Attributions aux financements spéciaux</t>
  </si>
  <si>
    <t>Total Attributions aux financements spéciaux</t>
  </si>
  <si>
    <t>41 Patentes, concessions</t>
  </si>
  <si>
    <t>Total Patentes, concessions</t>
  </si>
  <si>
    <t>42 Revenus du patrimoine</t>
  </si>
  <si>
    <t>Total Revenus du patrimoine</t>
  </si>
  <si>
    <t>43 Taxes, émoluments, produits des ventes</t>
  </si>
  <si>
    <t>Total Taxes, émoluments, produits des ventes</t>
  </si>
  <si>
    <t>44 Parts à des recettes cantonales</t>
  </si>
  <si>
    <t>Total Parts à des recettes cantonales</t>
  </si>
  <si>
    <t>45 Participations et remboursements de collectivités</t>
  </si>
  <si>
    <t>Total Participations et remboursements de collectivités</t>
  </si>
  <si>
    <t>481 Prélèvements sur les financements spéciaux</t>
  </si>
  <si>
    <t>TOTAL RECETTES**</t>
  </si>
  <si>
    <t>Dépenses nettes des nouveaux investissements</t>
  </si>
  <si>
    <t>Amortissements comptables + réserves affectées</t>
  </si>
  <si>
    <t xml:space="preserve">* y compris les amortissements comptables obligatoires, réserves affectées et mouvements réserves des domaines autofinancés. </t>
  </si>
  <si>
    <t>Les positions suivantes sont comprises dans les dépenses d'exploitation : 30 ; 31 ; 32 (prévisionnels) ; 330 &amp; 331 ; 35 ; 36 ; 381</t>
  </si>
  <si>
    <t>Les posititions suivantes sont comprises dans les recettes d'exploitation : 40 ; 41 ; 42 (sans 424) ; 43 ; 44 ; 45 ; 46 ; 481</t>
  </si>
  <si>
    <t>Recettes nettes des nouveaux investissements</t>
  </si>
  <si>
    <t>Dépenses (+) et recettes (-) d'exploitation des investissements</t>
  </si>
  <si>
    <t>Intérêts des dettes à moyen et long terme</t>
  </si>
  <si>
    <t xml:space="preserve">Autres amortissements du patrimoine administratif </t>
  </si>
  <si>
    <t>Autres prestations et subventions</t>
  </si>
  <si>
    <t>Subventions d'investissement</t>
  </si>
  <si>
    <t>Reprise des amortissements et réserves</t>
  </si>
  <si>
    <t>Terrains et bâtiments du patrimoine financier</t>
  </si>
  <si>
    <t>Dettes à court terme</t>
  </si>
  <si>
    <t>Dettes à moyen et long terme</t>
  </si>
  <si>
    <t>Amortissements d'autres biens du patrimoine financier</t>
  </si>
  <si>
    <t>46 Autres prestations et subventions</t>
  </si>
  <si>
    <t>Total Autres prestations et subventions</t>
  </si>
  <si>
    <t>Dépenses d'exploitation (sauf 380 &amp; 49)</t>
  </si>
  <si>
    <r>
      <t xml:space="preserve">Dépenses d'exploitation* </t>
    </r>
    <r>
      <rPr>
        <i/>
        <sz val="9"/>
        <color theme="1"/>
        <rFont val="Arial Narrow"/>
        <family val="2"/>
      </rPr>
      <t>(sauf 380 &amp; 39)</t>
    </r>
  </si>
  <si>
    <r>
      <t xml:space="preserve">Recettes d'exploitation** </t>
    </r>
    <r>
      <rPr>
        <i/>
        <sz val="9"/>
        <color theme="1"/>
        <rFont val="Arial Narrow"/>
        <family val="2"/>
      </rPr>
      <t>(sauf 480 &amp; 49)</t>
    </r>
  </si>
  <si>
    <t>Recettes d'exploitation (sauf 480 &amp; 49)</t>
  </si>
  <si>
    <t>Dépenses d'exploitation* (sauf 380 &amp; 39)</t>
  </si>
  <si>
    <t>Recettes d'exploitation** (sauf 480 &amp; 49)</t>
  </si>
  <si>
    <t>Bassins</t>
  </si>
  <si>
    <t>?</t>
  </si>
  <si>
    <t>Budget</t>
  </si>
  <si>
    <t>https://www.ucv.ch/formations/afep</t>
  </si>
  <si>
    <t>Page UCV</t>
  </si>
  <si>
    <t>Sources :</t>
  </si>
  <si>
    <t xml:space="preserve">Original du document : </t>
  </si>
  <si>
    <t>https://www.ucv.ch/fileadmin/documents/pdf/Outil_AFEP/AFEP-V1.0_UCV_AF_2021-01-20.xlsx</t>
  </si>
  <si>
    <t xml:space="preserve">Manuel d'utilisation : </t>
  </si>
  <si>
    <t>https://www.ucv.ch/fileadmin/documents/pdf/Outil_AFEP/AFEP-programme_NOTE_2021-01-20.pdf</t>
  </si>
  <si>
    <t>Si vous constatez des erreurs merci de nous envoyer un mail  à l'adresse suivante : contact@GCBassins.ch</t>
  </si>
  <si>
    <t>https://gcbassins.ch/Documents/TablDocsCC/Tableau%20documents%20conseil%20communal.htm</t>
  </si>
  <si>
    <t>Comptes et budgets de la commune de Bassins :</t>
  </si>
  <si>
    <t>Les données connues du GCB pour 2020 sont issues du budget 2020.</t>
  </si>
  <si>
    <t>https://www.pisepub.vd.ch/pisepub/asp/Main.aspx?Server=S014504P&amp;Project=181+Finances+communales+-+r%C3%A9sum%C3%A9+des+comptes&amp;Port=0&amp;evt=2001&amp;src=Main.aspx.shared.fbb.fb.2001&amp;folderID=DD13DB984EC623B456A99A896F6EDD0D</t>
  </si>
  <si>
    <t>Statistiques du Canton de Vaud, finances communales :</t>
  </si>
  <si>
    <t>Bassins, le 11.02.2021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</si>
</sst>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.0%"/>
    <numFmt numFmtId="167" formatCode="0.0"/>
  </numFmts>
  <fonts count="12" x14ac:knownFonts="1">
    <font>
      <sz val="9"/>
      <color theme="1"/>
      <name val="Arial Narrow"/>
      <family val="2"/>
    </font>
    <font>
      <sz val="9"/>
      <color theme="0"/>
      <name val="Arial Narrow"/>
      <family val="2"/>
    </font>
    <font>
      <i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u/>
      <sz val="9"/>
      <color theme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5" borderId="1" xfId="0" applyFill="1" applyBorder="1"/>
    <xf numFmtId="164" fontId="0" fillId="5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165" fontId="0" fillId="5" borderId="1" xfId="0" applyNumberFormat="1" applyFill="1" applyBorder="1"/>
    <xf numFmtId="166" fontId="0" fillId="5" borderId="1" xfId="1" applyNumberFormat="1" applyFont="1" applyFill="1" applyBorder="1"/>
    <xf numFmtId="164" fontId="0" fillId="5" borderId="1" xfId="1" applyNumberFormat="1" applyFont="1" applyFill="1" applyBorder="1"/>
    <xf numFmtId="164" fontId="0" fillId="5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6" xfId="0" applyNumberFormat="1" applyBorder="1"/>
    <xf numFmtId="0" fontId="5" fillId="0" borderId="5" xfId="0" applyFont="1" applyBorder="1" applyAlignment="1">
      <alignment horizontal="left"/>
    </xf>
    <xf numFmtId="0" fontId="1" fillId="4" borderId="8" xfId="0" applyNumberFormat="1" applyFont="1" applyFill="1" applyBorder="1" applyAlignment="1">
      <alignment horizontal="center"/>
    </xf>
    <xf numFmtId="164" fontId="0" fillId="0" borderId="8" xfId="0" applyNumberFormat="1" applyBorder="1"/>
    <xf numFmtId="165" fontId="0" fillId="5" borderId="8" xfId="0" applyNumberFormat="1" applyFill="1" applyBorder="1"/>
    <xf numFmtId="164" fontId="0" fillId="5" borderId="8" xfId="0" applyNumberFormat="1" applyFill="1" applyBorder="1"/>
    <xf numFmtId="166" fontId="0" fillId="5" borderId="8" xfId="1" applyNumberFormat="1" applyFont="1" applyFill="1" applyBorder="1"/>
    <xf numFmtId="0" fontId="0" fillId="0" borderId="5" xfId="0" applyBorder="1"/>
    <xf numFmtId="0" fontId="5" fillId="0" borderId="5" xfId="0" applyFont="1" applyBorder="1"/>
    <xf numFmtId="164" fontId="0" fillId="5" borderId="8" xfId="1" applyNumberFormat="1" applyFont="1" applyFill="1" applyBorder="1"/>
    <xf numFmtId="164" fontId="0" fillId="5" borderId="8" xfId="1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2" xfId="0" applyFont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3" xfId="0" applyFill="1" applyBorder="1"/>
    <xf numFmtId="164" fontId="0" fillId="5" borderId="13" xfId="0" applyNumberFormat="1" applyFill="1" applyBorder="1"/>
    <xf numFmtId="164" fontId="0" fillId="5" borderId="14" xfId="0" applyNumberFormat="1" applyFill="1" applyBorder="1"/>
    <xf numFmtId="0" fontId="0" fillId="0" borderId="6" xfId="0" applyBorder="1"/>
    <xf numFmtId="0" fontId="0" fillId="0" borderId="0" xfId="0" applyBorder="1" applyAlignment="1">
      <alignment vertical="center"/>
    </xf>
    <xf numFmtId="165" fontId="0" fillId="0" borderId="1" xfId="0" applyNumberFormat="1" applyBorder="1"/>
    <xf numFmtId="0" fontId="5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164" fontId="0" fillId="6" borderId="3" xfId="0" applyNumberFormat="1" applyFill="1" applyBorder="1"/>
    <xf numFmtId="164" fontId="0" fillId="6" borderId="4" xfId="0" applyNumberFormat="1" applyFill="1" applyBorder="1"/>
    <xf numFmtId="0" fontId="5" fillId="6" borderId="2" xfId="0" applyFont="1" applyFill="1" applyBorder="1"/>
    <xf numFmtId="0" fontId="0" fillId="6" borderId="4" xfId="0" applyFill="1" applyBorder="1"/>
    <xf numFmtId="165" fontId="0" fillId="0" borderId="8" xfId="0" applyNumberFormat="1" applyBorder="1"/>
    <xf numFmtId="0" fontId="0" fillId="5" borderId="13" xfId="0" applyFill="1" applyBorder="1" applyAlignment="1">
      <alignment horizontal="right"/>
    </xf>
    <xf numFmtId="165" fontId="0" fillId="5" borderId="13" xfId="1" applyNumberFormat="1" applyFont="1" applyFill="1" applyBorder="1"/>
    <xf numFmtId="165" fontId="0" fillId="5" borderId="14" xfId="1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164" fontId="7" fillId="0" borderId="1" xfId="0" applyNumberFormat="1" applyFont="1" applyBorder="1"/>
    <xf numFmtId="164" fontId="7" fillId="0" borderId="0" xfId="0" applyNumberFormat="1" applyFont="1"/>
    <xf numFmtId="0" fontId="7" fillId="0" borderId="0" xfId="0" applyFont="1"/>
    <xf numFmtId="0" fontId="6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/>
    </xf>
    <xf numFmtId="165" fontId="7" fillId="0" borderId="1" xfId="0" applyNumberFormat="1" applyFont="1" applyBorder="1"/>
    <xf numFmtId="164" fontId="7" fillId="0" borderId="0" xfId="0" applyNumberFormat="1" applyFont="1" applyAlignment="1">
      <alignment horizontal="left" vertical="top" wrapText="1"/>
    </xf>
    <xf numFmtId="166" fontId="7" fillId="0" borderId="1" xfId="1" applyNumberFormat="1" applyFont="1" applyBorder="1"/>
    <xf numFmtId="0" fontId="0" fillId="0" borderId="0" xfId="0" applyFill="1" applyAlignment="1"/>
    <xf numFmtId="0" fontId="0" fillId="0" borderId="0" xfId="0" applyAlignment="1">
      <alignment textRotation="90"/>
    </xf>
    <xf numFmtId="0" fontId="7" fillId="5" borderId="1" xfId="0" applyFont="1" applyFill="1" applyBorder="1"/>
    <xf numFmtId="164" fontId="7" fillId="5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7" fillId="6" borderId="1" xfId="0" applyFont="1" applyFill="1" applyBorder="1"/>
    <xf numFmtId="164" fontId="7" fillId="6" borderId="1" xfId="0" applyNumberFormat="1" applyFont="1" applyFill="1" applyBorder="1"/>
    <xf numFmtId="0" fontId="8" fillId="0" borderId="0" xfId="0" applyFont="1"/>
    <xf numFmtId="164" fontId="0" fillId="0" borderId="0" xfId="0" applyNumberFormat="1" applyFont="1"/>
    <xf numFmtId="0" fontId="0" fillId="0" borderId="0" xfId="0" applyFont="1"/>
    <xf numFmtId="164" fontId="0" fillId="5" borderId="1" xfId="0" applyNumberFormat="1" applyFill="1" applyBorder="1" applyAlignment="1">
      <alignment horizontal="right"/>
    </xf>
    <xf numFmtId="164" fontId="0" fillId="5" borderId="8" xfId="0" applyNumberFormat="1" applyFill="1" applyBorder="1" applyAlignment="1">
      <alignment horizontal="right"/>
    </xf>
    <xf numFmtId="164" fontId="7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vertical="center"/>
    </xf>
    <xf numFmtId="164" fontId="0" fillId="9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8" borderId="3" xfId="0" applyFill="1" applyBorder="1"/>
    <xf numFmtId="164" fontId="0" fillId="0" borderId="10" xfId="0" applyNumberFormat="1" applyBorder="1"/>
    <xf numFmtId="0" fontId="0" fillId="8" borderId="4" xfId="0" applyFill="1" applyBorder="1"/>
    <xf numFmtId="0" fontId="1" fillId="7" borderId="1" xfId="0" applyFont="1" applyFill="1" applyBorder="1" applyAlignment="1">
      <alignment horizontal="center"/>
    </xf>
    <xf numFmtId="164" fontId="0" fillId="9" borderId="1" xfId="0" applyNumberFormat="1" applyFill="1" applyBorder="1"/>
    <xf numFmtId="0" fontId="1" fillId="7" borderId="7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9" borderId="7" xfId="0" applyFill="1" applyBorder="1"/>
    <xf numFmtId="0" fontId="0" fillId="0" borderId="8" xfId="0" applyBorder="1" applyAlignment="1">
      <alignment horizontal="center" vertical="center"/>
    </xf>
    <xf numFmtId="164" fontId="0" fillId="8" borderId="3" xfId="0" applyNumberFormat="1" applyFill="1" applyBorder="1"/>
    <xf numFmtId="0" fontId="1" fillId="7" borderId="1" xfId="0" applyNumberFormat="1" applyFont="1" applyFill="1" applyBorder="1" applyAlignment="1">
      <alignment horizontal="center"/>
    </xf>
    <xf numFmtId="0" fontId="5" fillId="8" borderId="2" xfId="0" applyFont="1" applyFill="1" applyBorder="1"/>
    <xf numFmtId="164" fontId="0" fillId="8" borderId="4" xfId="0" applyNumberFormat="1" applyFill="1" applyBorder="1"/>
    <xf numFmtId="0" fontId="1" fillId="7" borderId="8" xfId="0" applyNumberFormat="1" applyFont="1" applyFill="1" applyBorder="1" applyAlignment="1">
      <alignment horizontal="center"/>
    </xf>
    <xf numFmtId="0" fontId="0" fillId="9" borderId="7" xfId="0" applyFill="1" applyBorder="1" applyAlignment="1">
      <alignment horizontal="right"/>
    </xf>
    <xf numFmtId="164" fontId="0" fillId="9" borderId="1" xfId="1" applyNumberFormat="1" applyFont="1" applyFill="1" applyBorder="1"/>
    <xf numFmtId="164" fontId="0" fillId="9" borderId="8" xfId="1" applyNumberFormat="1" applyFont="1" applyFill="1" applyBorder="1"/>
    <xf numFmtId="164" fontId="0" fillId="0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67" fontId="0" fillId="3" borderId="1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9" fontId="0" fillId="3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1" fillId="7" borderId="22" xfId="0" applyFont="1" applyFill="1" applyBorder="1"/>
    <xf numFmtId="0" fontId="1" fillId="7" borderId="23" xfId="0" applyFont="1" applyFill="1" applyBorder="1" applyAlignment="1">
      <alignment horizontal="center"/>
    </xf>
    <xf numFmtId="0" fontId="0" fillId="9" borderId="12" xfId="0" applyFill="1" applyBorder="1"/>
    <xf numFmtId="164" fontId="0" fillId="9" borderId="13" xfId="0" applyNumberFormat="1" applyFill="1" applyBorder="1"/>
    <xf numFmtId="0" fontId="0" fillId="0" borderId="24" xfId="0" applyBorder="1" applyAlignment="1">
      <alignment horizontal="center"/>
    </xf>
    <xf numFmtId="0" fontId="1" fillId="0" borderId="0" xfId="0" applyFont="1"/>
    <xf numFmtId="0" fontId="0" fillId="3" borderId="25" xfId="0" applyFill="1" applyBorder="1" applyAlignment="1" applyProtection="1">
      <alignment horizontal="center"/>
      <protection locked="0"/>
    </xf>
    <xf numFmtId="10" fontId="7" fillId="0" borderId="1" xfId="1" applyNumberFormat="1" applyFont="1" applyBorder="1"/>
    <xf numFmtId="10" fontId="0" fillId="3" borderId="8" xfId="1" applyNumberFormat="1" applyFont="1" applyFill="1" applyBorder="1" applyAlignment="1" applyProtection="1">
      <alignment horizontal="center"/>
      <protection locked="0"/>
    </xf>
    <xf numFmtId="10" fontId="0" fillId="3" borderId="14" xfId="1" applyNumberFormat="1" applyFont="1" applyFill="1" applyBorder="1" applyAlignment="1" applyProtection="1">
      <alignment horizontal="center"/>
      <protection locked="0"/>
    </xf>
    <xf numFmtId="164" fontId="0" fillId="9" borderId="1" xfId="0" applyNumberFormat="1" applyFill="1" applyBorder="1" applyProtection="1"/>
    <xf numFmtId="164" fontId="0" fillId="0" borderId="1" xfId="0" applyNumberFormat="1" applyFill="1" applyBorder="1" applyProtection="1"/>
    <xf numFmtId="0" fontId="0" fillId="9" borderId="7" xfId="0" applyFill="1" applyBorder="1" applyProtection="1"/>
    <xf numFmtId="0" fontId="0" fillId="0" borderId="7" xfId="0" applyFill="1" applyBorder="1"/>
    <xf numFmtId="0" fontId="5" fillId="9" borderId="7" xfId="0" applyFont="1" applyFill="1" applyBorder="1"/>
    <xf numFmtId="164" fontId="5" fillId="9" borderId="1" xfId="0" applyNumberFormat="1" applyFont="1" applyFill="1" applyBorder="1"/>
    <xf numFmtId="0" fontId="0" fillId="0" borderId="6" xfId="0" applyFill="1" applyBorder="1" applyAlignment="1">
      <alignment horizontal="center"/>
    </xf>
    <xf numFmtId="10" fontId="0" fillId="0" borderId="6" xfId="1" applyNumberFormat="1" applyFont="1" applyFill="1" applyBorder="1" applyAlignment="1" applyProtection="1">
      <alignment horizontal="center"/>
      <protection locked="0"/>
    </xf>
    <xf numFmtId="10" fontId="0" fillId="5" borderId="1" xfId="1" applyNumberFormat="1" applyFont="1" applyFill="1" applyBorder="1"/>
    <xf numFmtId="164" fontId="10" fillId="10" borderId="1" xfId="3" applyNumberFormat="1" applyBorder="1" applyProtection="1">
      <protection locked="0"/>
    </xf>
    <xf numFmtId="0" fontId="10" fillId="10" borderId="1" xfId="3" applyBorder="1" applyAlignment="1">
      <alignment horizontal="center"/>
    </xf>
    <xf numFmtId="0" fontId="11" fillId="0" borderId="0" xfId="4"/>
    <xf numFmtId="0" fontId="3" fillId="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5">
    <cellStyle name="Lien hypertexte" xfId="4" builtinId="8"/>
    <cellStyle name="Neutre" xfId="3" builtinId="28"/>
    <cellStyle name="Normal" xfId="0" builtinId="0"/>
    <cellStyle name="Normal 2" xfId="2" xr:uid="{D3043436-7608-4B8E-97BA-830F3F47058B}"/>
    <cellStyle name="Pourcentage" xfId="1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H" sz="1100" b="1"/>
              <a:t>Evolution du solde de fonctionnement épuré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070534979423868"/>
          <c:y val="0.15904915294679073"/>
          <c:w val="0.76216131687242794"/>
          <c:h val="0.54290378336854239"/>
        </c:manualLayout>
      </c:layout>
      <c:lineChart>
        <c:grouping val="standard"/>
        <c:varyColors val="0"/>
        <c:ser>
          <c:idx val="0"/>
          <c:order val="0"/>
          <c:tx>
            <c:strRef>
              <c:f>TBAF!$A$4</c:f>
              <c:strCache>
                <c:ptCount val="1"/>
                <c:pt idx="0">
                  <c:v>Dépenses d'exploitation*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TBAF!$B$3:$F$3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TBAF!$B$4:$F$4</c:f>
              <c:numCache>
                <c:formatCode>#,##0_ ;[Red]\-#,##0\ </c:formatCode>
                <c:ptCount val="5"/>
                <c:pt idx="0">
                  <c:v>6190957.0199999996</c:v>
                </c:pt>
                <c:pt idx="1">
                  <c:v>6303974.6800000006</c:v>
                </c:pt>
                <c:pt idx="2">
                  <c:v>6604035.1699999999</c:v>
                </c:pt>
                <c:pt idx="3">
                  <c:v>7567758.9899999993</c:v>
                </c:pt>
                <c:pt idx="4">
                  <c:v>6914254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F-429D-BC5C-43A945D9005F}"/>
            </c:ext>
          </c:extLst>
        </c:ser>
        <c:ser>
          <c:idx val="1"/>
          <c:order val="1"/>
          <c:tx>
            <c:strRef>
              <c:f>TBAF!$A$5</c:f>
              <c:strCache>
                <c:ptCount val="1"/>
                <c:pt idx="0">
                  <c:v>Recettes d'exploitation**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numRef>
              <c:f>TBAF!$B$3:$F$3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TBAF!$B$5:$F$5</c:f>
              <c:numCache>
                <c:formatCode>#,##0_ ;[Red]\-#,##0\ </c:formatCode>
                <c:ptCount val="5"/>
                <c:pt idx="0">
                  <c:v>6157833.9199999999</c:v>
                </c:pt>
                <c:pt idx="1">
                  <c:v>7374991.5000000009</c:v>
                </c:pt>
                <c:pt idx="2">
                  <c:v>6501113.0699999994</c:v>
                </c:pt>
                <c:pt idx="3">
                  <c:v>7317219.5299999993</c:v>
                </c:pt>
                <c:pt idx="4">
                  <c:v>6539724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F-429D-BC5C-43A945D9005F}"/>
            </c:ext>
          </c:extLst>
        </c:ser>
        <c:ser>
          <c:idx val="2"/>
          <c:order val="2"/>
          <c:tx>
            <c:strRef>
              <c:f>TBAF!$A$6</c:f>
              <c:strCache>
                <c:ptCount val="1"/>
                <c:pt idx="0">
                  <c:v>SOLDE DE FONCTIONNEMENT EPURE (SFE)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numRef>
              <c:f>TBAF!$B$3:$F$3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TBAF!$B$6:$F$6</c:f>
              <c:numCache>
                <c:formatCode>#,##0_ ;[Red]\-#,##0\ </c:formatCode>
                <c:ptCount val="5"/>
                <c:pt idx="0">
                  <c:v>-33123.099999999627</c:v>
                </c:pt>
                <c:pt idx="1">
                  <c:v>1071016.8200000003</c:v>
                </c:pt>
                <c:pt idx="2">
                  <c:v>-102922.10000000056</c:v>
                </c:pt>
                <c:pt idx="3">
                  <c:v>-250539.45999999996</c:v>
                </c:pt>
                <c:pt idx="4">
                  <c:v>-374530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1F-429D-BC5C-43A945D9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74000"/>
        <c:axId val="1783671920"/>
      </c:lineChart>
      <c:catAx>
        <c:axId val="17836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Années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1920"/>
        <c:crosses val="autoZero"/>
        <c:auto val="1"/>
        <c:lblAlgn val="ctr"/>
        <c:lblOffset val="100"/>
        <c:noMultiLvlLbl val="0"/>
      </c:catAx>
      <c:valAx>
        <c:axId val="17836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Valeur</a:t>
                </a:r>
                <a:r>
                  <a:rPr lang="fr-CH" i="1" baseline="0"/>
                  <a:t>s en CHF</a:t>
                </a:r>
                <a:endParaRPr lang="fr-CH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66998204171848E-2"/>
          <c:y val="0.84820391353519831"/>
          <c:w val="0.92499380341880344"/>
          <c:h val="0.1265437552013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H" sz="1100" b="1"/>
              <a:t>Capacité économique</a:t>
            </a:r>
            <a:r>
              <a:rPr lang="fr-CH" sz="1100" b="1" baseline="0"/>
              <a:t> d'endettement et dette nette</a:t>
            </a:r>
            <a:endParaRPr lang="fr-CH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732037037037036"/>
          <c:y val="0.15256767146530922"/>
          <c:w val="0.72241913580246908"/>
          <c:h val="0.54263821860977057"/>
        </c:manualLayout>
      </c:layout>
      <c:lineChart>
        <c:grouping val="standard"/>
        <c:varyColors val="0"/>
        <c:ser>
          <c:idx val="0"/>
          <c:order val="0"/>
          <c:tx>
            <c:strRef>
              <c:f>TBAF!$A$15</c:f>
              <c:strCache>
                <c:ptCount val="1"/>
                <c:pt idx="0">
                  <c:v>Capacité économique d'endettement (CEE)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TBAF!$B$3:$F$3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TBAF!$B$15:$F$15</c:f>
              <c:numCache>
                <c:formatCode>#,##0_ ;[Red]\-#,##0\ </c:formatCode>
                <c:ptCount val="5"/>
                <c:pt idx="0">
                  <c:v>13992900.000000011</c:v>
                </c:pt>
                <c:pt idx="1">
                  <c:v>49577376.600000009</c:v>
                </c:pt>
                <c:pt idx="2">
                  <c:v>15514916.999999966</c:v>
                </c:pt>
                <c:pt idx="3">
                  <c:v>9160666.1999999937</c:v>
                </c:pt>
                <c:pt idx="4">
                  <c:v>5044950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6-4935-8DDD-BEDF49E2658E}"/>
            </c:ext>
          </c:extLst>
        </c:ser>
        <c:ser>
          <c:idx val="1"/>
          <c:order val="1"/>
          <c:tx>
            <c:strRef>
              <c:f>TBAF!$A$14</c:f>
              <c:strCache>
                <c:ptCount val="1"/>
                <c:pt idx="0">
                  <c:v>Dette nette (DN)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TBAF!$B$3:$F$3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TBAF!$B$14:$F$14</c:f>
              <c:numCache>
                <c:formatCode>#,##0_ ;[Red]\-#,##0\ </c:formatCode>
                <c:ptCount val="5"/>
                <c:pt idx="0">
                  <c:v>15805267.5</c:v>
                </c:pt>
                <c:pt idx="1">
                  <c:v>15118637.91</c:v>
                </c:pt>
                <c:pt idx="2">
                  <c:v>14405548.129999999</c:v>
                </c:pt>
                <c:pt idx="3">
                  <c:v>14132261.5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46-4935-8DDD-BEDF49E2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74000"/>
        <c:axId val="1783671920"/>
      </c:lineChart>
      <c:catAx>
        <c:axId val="17836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Années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1920"/>
        <c:crosses val="autoZero"/>
        <c:auto val="1"/>
        <c:lblAlgn val="ctr"/>
        <c:lblOffset val="100"/>
        <c:noMultiLvlLbl val="0"/>
      </c:catAx>
      <c:valAx>
        <c:axId val="17836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Valeurs</a:t>
                </a:r>
                <a:r>
                  <a:rPr lang="fr-CH" i="1" baseline="0"/>
                  <a:t> en CHF</a:t>
                </a:r>
                <a:endParaRPr lang="fr-CH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H" sz="1100" b="1"/>
              <a:t>Evolution du solde de fonctionnement épuré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100905349794238"/>
          <c:y val="0.15904915294679073"/>
          <c:w val="0.72551934156378606"/>
          <c:h val="0.54290378336854239"/>
        </c:manualLayout>
      </c:layout>
      <c:lineChart>
        <c:grouping val="standard"/>
        <c:varyColors val="0"/>
        <c:ser>
          <c:idx val="0"/>
          <c:order val="0"/>
          <c:tx>
            <c:strRef>
              <c:f>TBEP!$A$4</c:f>
              <c:strCache>
                <c:ptCount val="1"/>
                <c:pt idx="0">
                  <c:v>Dépenses d'exploitation* (sauf 380 &amp; 39)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TBEP!$B$3:$K$3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TBEP!$B$4:$K$4</c:f>
              <c:numCache>
                <c:formatCode>#,##0_ ;[Red]\-#,##0\ </c:formatCode>
                <c:ptCount val="10"/>
                <c:pt idx="0">
                  <c:v>6190957.0199999996</c:v>
                </c:pt>
                <c:pt idx="1">
                  <c:v>6303974.6800000006</c:v>
                </c:pt>
                <c:pt idx="2">
                  <c:v>6604035.1699999999</c:v>
                </c:pt>
                <c:pt idx="3">
                  <c:v>7567758.9899999993</c:v>
                </c:pt>
                <c:pt idx="4">
                  <c:v>6914254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9-427A-9A07-FB9C3FB0C876}"/>
            </c:ext>
          </c:extLst>
        </c:ser>
        <c:ser>
          <c:idx val="1"/>
          <c:order val="1"/>
          <c:tx>
            <c:strRef>
              <c:f>TBEP!$A$5</c:f>
              <c:strCache>
                <c:ptCount val="1"/>
                <c:pt idx="0">
                  <c:v>Recettes d'exploitation** (sauf 480 &amp; 49)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cat>
            <c:numRef>
              <c:f>TBEP!$B$3:$K$3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TBEP!$B$5:$K$5</c:f>
              <c:numCache>
                <c:formatCode>#,##0_ ;[Red]\-#,##0\ </c:formatCode>
                <c:ptCount val="10"/>
                <c:pt idx="0">
                  <c:v>6157833.9199999999</c:v>
                </c:pt>
                <c:pt idx="1">
                  <c:v>7374991.5000000009</c:v>
                </c:pt>
                <c:pt idx="2">
                  <c:v>6501113.0699999994</c:v>
                </c:pt>
                <c:pt idx="3">
                  <c:v>7317219.5299999993</c:v>
                </c:pt>
                <c:pt idx="4">
                  <c:v>6539724</c:v>
                </c:pt>
                <c:pt idx="5">
                  <c:v>6539724</c:v>
                </c:pt>
                <c:pt idx="6">
                  <c:v>6539724</c:v>
                </c:pt>
                <c:pt idx="7">
                  <c:v>6539724</c:v>
                </c:pt>
                <c:pt idx="8">
                  <c:v>6539724</c:v>
                </c:pt>
                <c:pt idx="9">
                  <c:v>6539724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9-427A-9A07-FB9C3FB0C876}"/>
            </c:ext>
          </c:extLst>
        </c:ser>
        <c:ser>
          <c:idx val="2"/>
          <c:order val="2"/>
          <c:tx>
            <c:strRef>
              <c:f>TBEP!$A$6</c:f>
              <c:strCache>
                <c:ptCount val="1"/>
                <c:pt idx="0">
                  <c:v>SOLDE DE FONCTIONNEMENT EPURE (SFE)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numRef>
              <c:f>TBEP!$B$3:$K$3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TBEP!$B$6:$K$6</c:f>
              <c:numCache>
                <c:formatCode>#,##0_ ;[Red]\-#,##0\ </c:formatCode>
                <c:ptCount val="10"/>
                <c:pt idx="0">
                  <c:v>-33123.099999999627</c:v>
                </c:pt>
                <c:pt idx="1">
                  <c:v>1071016.8200000003</c:v>
                </c:pt>
                <c:pt idx="2">
                  <c:v>-102922.10000000056</c:v>
                </c:pt>
                <c:pt idx="3">
                  <c:v>-250539.45999999996</c:v>
                </c:pt>
                <c:pt idx="4">
                  <c:v>-374530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9-427A-9A07-FB9C3FB0C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74000"/>
        <c:axId val="1783671920"/>
      </c:lineChart>
      <c:catAx>
        <c:axId val="17836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Années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1920"/>
        <c:crosses val="autoZero"/>
        <c:auto val="1"/>
        <c:lblAlgn val="ctr"/>
        <c:lblOffset val="100"/>
        <c:noMultiLvlLbl val="0"/>
      </c:catAx>
      <c:valAx>
        <c:axId val="17836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Valeur</a:t>
                </a:r>
                <a:r>
                  <a:rPr lang="fr-CH" i="1" baseline="0"/>
                  <a:t>s en CHF</a:t>
                </a:r>
                <a:endParaRPr lang="fr-CH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66998204171848E-2"/>
          <c:y val="0.84820391353519831"/>
          <c:w val="0.92499380341880344"/>
          <c:h val="0.1265437552013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H" sz="1100" b="1"/>
              <a:t>Capacité économique</a:t>
            </a:r>
            <a:r>
              <a:rPr lang="fr-CH" sz="1100" b="1" baseline="0"/>
              <a:t> d'endettement et dette nette</a:t>
            </a:r>
            <a:endParaRPr lang="fr-CH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948086419753087"/>
          <c:y val="0.15256767146530922"/>
          <c:w val="0.73025864197530876"/>
          <c:h val="0.54263821860977057"/>
        </c:manualLayout>
      </c:layout>
      <c:lineChart>
        <c:grouping val="standard"/>
        <c:varyColors val="0"/>
        <c:ser>
          <c:idx val="0"/>
          <c:order val="0"/>
          <c:tx>
            <c:strRef>
              <c:f>TBEP!$A$14</c:f>
              <c:strCache>
                <c:ptCount val="1"/>
                <c:pt idx="0">
                  <c:v>Capacité économique d'endettement (CEE)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TBEP!$B$3:$K$3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TBEP!$B$14:$K$14</c:f>
              <c:numCache>
                <c:formatCode>#,##0_ ;[Red]\-#,##0\ </c:formatCode>
                <c:ptCount val="10"/>
                <c:pt idx="0">
                  <c:v>13992900.000000011</c:v>
                </c:pt>
                <c:pt idx="1">
                  <c:v>49577376.600000009</c:v>
                </c:pt>
                <c:pt idx="2">
                  <c:v>15514916.999999966</c:v>
                </c:pt>
                <c:pt idx="3">
                  <c:v>9160666.1999999937</c:v>
                </c:pt>
                <c:pt idx="4">
                  <c:v>5044950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5-4DF4-BD68-D070BACE90FF}"/>
            </c:ext>
          </c:extLst>
        </c:ser>
        <c:ser>
          <c:idx val="1"/>
          <c:order val="1"/>
          <c:tx>
            <c:strRef>
              <c:f>TBEP!$A$13</c:f>
              <c:strCache>
                <c:ptCount val="1"/>
                <c:pt idx="0">
                  <c:v>Dette nette (DN)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TBEP!$B$3:$K$3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TBEP!$B$13:$K$13</c:f>
              <c:numCache>
                <c:formatCode>#,##0_ ;[Red]\-#,##0\ </c:formatCode>
                <c:ptCount val="10"/>
                <c:pt idx="0">
                  <c:v>15805267.5</c:v>
                </c:pt>
                <c:pt idx="1">
                  <c:v>15118637.91</c:v>
                </c:pt>
                <c:pt idx="2">
                  <c:v>14405548.129999999</c:v>
                </c:pt>
                <c:pt idx="3">
                  <c:v>14132261.5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5-4DF4-BD68-D070BACE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74000"/>
        <c:axId val="1783671920"/>
      </c:lineChart>
      <c:catAx>
        <c:axId val="17836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Années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1920"/>
        <c:crosses val="autoZero"/>
        <c:auto val="1"/>
        <c:lblAlgn val="ctr"/>
        <c:lblOffset val="100"/>
        <c:noMultiLvlLbl val="0"/>
      </c:catAx>
      <c:valAx>
        <c:axId val="17836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CH" i="1"/>
                  <a:t>Valeurs</a:t>
                </a:r>
                <a:r>
                  <a:rPr lang="fr-CH" i="1" baseline="0"/>
                  <a:t> en CHF</a:t>
                </a:r>
                <a:endParaRPr lang="fr-CH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8367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gcbassins.ch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2</xdr:col>
      <xdr:colOff>621375</xdr:colOff>
      <xdr:row>35</xdr:row>
      <xdr:rowOff>56550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0A3B13-7483-45FA-ABD3-BE951C31BC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712469</xdr:colOff>
      <xdr:row>21</xdr:row>
      <xdr:rowOff>95250</xdr:rowOff>
    </xdr:from>
    <xdr:to>
      <xdr:col>8</xdr:col>
      <xdr:colOff>800444</xdr:colOff>
      <xdr:row>35</xdr:row>
      <xdr:rowOff>57150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B740ABD-EFF8-424F-A19A-B49586A55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9524</xdr:rowOff>
    </xdr:from>
    <xdr:to>
      <xdr:col>4</xdr:col>
      <xdr:colOff>107024</xdr:colOff>
      <xdr:row>36</xdr:row>
      <xdr:rowOff>145349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C26EC79-4CF6-4A00-863F-2F45A72C6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21</xdr:row>
      <xdr:rowOff>161924</xdr:rowOff>
    </xdr:from>
    <xdr:to>
      <xdr:col>10</xdr:col>
      <xdr:colOff>669000</xdr:colOff>
      <xdr:row>36</xdr:row>
      <xdr:rowOff>145349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BDA3620-D6D5-48E1-AF2E-7E6DCD703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48986</xdr:rowOff>
    </xdr:from>
    <xdr:to>
      <xdr:col>12</xdr:col>
      <xdr:colOff>506186</xdr:colOff>
      <xdr:row>6</xdr:row>
      <xdr:rowOff>8164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86332-5092-4E97-8821-C86E03F8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48986"/>
          <a:ext cx="8365671" cy="100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cv.ch/fileadmin/documents/pdf/Outil_AFEP/AFEP-programme_NOTE_2021-01-20.pdf" TargetMode="External"/><Relationship Id="rId2" Type="http://schemas.openxmlformats.org/officeDocument/2006/relationships/hyperlink" Target="https://www.ucv.ch/fileadmin/documents/pdf/Outil_AFEP/AFEP-V1.0_UCV_AF_2021-01-20.xlsx" TargetMode="External"/><Relationship Id="rId1" Type="http://schemas.openxmlformats.org/officeDocument/2006/relationships/hyperlink" Target="https://www.ucv.ch/formations/afep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pisepub.vd.ch/pisepub/asp/Main.aspx?Server=S014504P&amp;Project=181+Finances+communales+-+r%C3%A9sum%C3%A9+des+comptes&amp;Port=0&amp;evt=2001&amp;src=Main.aspx.shared.fbb.fb.2001&amp;folderID=DD13DB984EC623B456A99A896F6EDD0D" TargetMode="External"/><Relationship Id="rId4" Type="http://schemas.openxmlformats.org/officeDocument/2006/relationships/hyperlink" Target="https://gcbassins.ch/Documents/TablDocsCC/Tableau%20documents%20conseil%20communa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AE1D-70BF-43D5-A61C-B78AEC0ACB43}">
  <sheetPr>
    <tabColor theme="5"/>
  </sheetPr>
  <dimension ref="A1:H106"/>
  <sheetViews>
    <sheetView zoomScale="175" zoomScaleNormal="175" workbookViewId="0">
      <selection activeCell="C6" sqref="C6"/>
    </sheetView>
  </sheetViews>
  <sheetFormatPr baseColWidth="10" defaultRowHeight="13.5" x14ac:dyDescent="0.25"/>
  <cols>
    <col min="1" max="1" width="8.59765625" customWidth="1"/>
    <col min="2" max="2" width="51" customWidth="1"/>
    <col min="3" max="7" width="14.796875" customWidth="1"/>
  </cols>
  <sheetData>
    <row r="1" spans="1:8" ht="16.5" x14ac:dyDescent="0.3">
      <c r="A1" s="1" t="s">
        <v>191</v>
      </c>
      <c r="C1" s="1" t="s">
        <v>167</v>
      </c>
      <c r="D1" s="165" t="s">
        <v>260</v>
      </c>
      <c r="E1" s="165"/>
      <c r="F1" s="165"/>
      <c r="G1" s="165"/>
      <c r="H1" s="80"/>
    </row>
    <row r="2" spans="1:8" ht="15" x14ac:dyDescent="0.25">
      <c r="A2" s="13"/>
      <c r="B2" s="13"/>
      <c r="C2" s="13"/>
      <c r="D2" s="13"/>
      <c r="E2" s="13"/>
      <c r="F2" s="13"/>
      <c r="G2" s="163" t="s">
        <v>262</v>
      </c>
    </row>
    <row r="3" spans="1:8" x14ac:dyDescent="0.25">
      <c r="A3" s="6"/>
      <c r="B3" s="6" t="s">
        <v>137</v>
      </c>
      <c r="C3" s="134">
        <v>2016</v>
      </c>
      <c r="D3" s="134">
        <v>2017</v>
      </c>
      <c r="E3" s="134">
        <v>2018</v>
      </c>
      <c r="F3" s="134">
        <v>2019</v>
      </c>
      <c r="G3" s="134">
        <v>2020</v>
      </c>
    </row>
    <row r="4" spans="1:8" ht="15" x14ac:dyDescent="0.25">
      <c r="A4" s="7">
        <v>30</v>
      </c>
      <c r="B4" s="5" t="s">
        <v>0</v>
      </c>
      <c r="C4" s="135">
        <v>962362.75000000012</v>
      </c>
      <c r="D4" s="135">
        <v>932367.85000000021</v>
      </c>
      <c r="E4" s="135">
        <v>1029061.3999999999</v>
      </c>
      <c r="F4" s="135">
        <v>964282.64999999967</v>
      </c>
      <c r="G4" s="162">
        <v>1069180</v>
      </c>
    </row>
    <row r="5" spans="1:8" ht="15" x14ac:dyDescent="0.25">
      <c r="A5" s="7">
        <v>31</v>
      </c>
      <c r="B5" s="5" t="s">
        <v>1</v>
      </c>
      <c r="C5" s="135">
        <v>1581296.77</v>
      </c>
      <c r="D5" s="135">
        <v>1503174.4999999998</v>
      </c>
      <c r="E5" s="135">
        <v>1421249</v>
      </c>
      <c r="F5" s="135">
        <v>2282324.7400000002</v>
      </c>
      <c r="G5" s="162">
        <v>1844470</v>
      </c>
    </row>
    <row r="6" spans="1:8" ht="15" x14ac:dyDescent="0.25">
      <c r="A6" s="7">
        <v>32</v>
      </c>
      <c r="B6" s="5" t="s">
        <v>2</v>
      </c>
      <c r="C6" s="135">
        <v>325142.52999999997</v>
      </c>
      <c r="D6" s="135">
        <v>356407.2300000001</v>
      </c>
      <c r="E6" s="135">
        <v>329778.71999999997</v>
      </c>
      <c r="F6" s="135">
        <v>358418.21</v>
      </c>
      <c r="G6" s="162">
        <v>337660</v>
      </c>
    </row>
    <row r="7" spans="1:8" ht="15" x14ac:dyDescent="0.25">
      <c r="A7" s="8">
        <v>321</v>
      </c>
      <c r="B7" s="9" t="s">
        <v>75</v>
      </c>
      <c r="C7" s="136">
        <v>60266.720000000001</v>
      </c>
      <c r="D7" s="136">
        <v>61947.79</v>
      </c>
      <c r="E7" s="136">
        <v>56569.05</v>
      </c>
      <c r="F7" s="136">
        <v>56416.41</v>
      </c>
      <c r="G7" s="162">
        <v>55680</v>
      </c>
    </row>
    <row r="8" spans="1:8" ht="15" x14ac:dyDescent="0.25">
      <c r="A8" s="8">
        <v>322</v>
      </c>
      <c r="B8" s="9" t="s">
        <v>243</v>
      </c>
      <c r="C8" s="136">
        <v>231307.73999999993</v>
      </c>
      <c r="D8" s="136">
        <v>230631.53000000006</v>
      </c>
      <c r="E8" s="136">
        <v>232074.42999999996</v>
      </c>
      <c r="F8" s="136">
        <v>223606.49000000002</v>
      </c>
      <c r="G8" s="162">
        <v>222980</v>
      </c>
    </row>
    <row r="9" spans="1:8" ht="15" x14ac:dyDescent="0.25">
      <c r="A9" s="7">
        <v>33</v>
      </c>
      <c r="B9" s="5" t="s">
        <v>3</v>
      </c>
      <c r="C9" s="135">
        <v>499553.1</v>
      </c>
      <c r="D9" s="135">
        <v>581562.4</v>
      </c>
      <c r="E9" s="135">
        <v>620086</v>
      </c>
      <c r="F9" s="135">
        <v>555895</v>
      </c>
      <c r="G9" s="162">
        <v>542695</v>
      </c>
    </row>
    <row r="10" spans="1:8" ht="15" x14ac:dyDescent="0.25">
      <c r="A10" s="8">
        <v>330</v>
      </c>
      <c r="B10" s="9" t="s">
        <v>16</v>
      </c>
      <c r="C10" s="136">
        <v>0</v>
      </c>
      <c r="D10" s="136">
        <v>0</v>
      </c>
      <c r="E10" s="136">
        <v>0</v>
      </c>
      <c r="F10" s="136">
        <v>0</v>
      </c>
      <c r="G10" s="162">
        <v>0</v>
      </c>
    </row>
    <row r="11" spans="1:8" ht="15" x14ac:dyDescent="0.25">
      <c r="A11" s="8">
        <v>331</v>
      </c>
      <c r="B11" s="9" t="s">
        <v>17</v>
      </c>
      <c r="C11" s="136">
        <v>499553.1</v>
      </c>
      <c r="D11" s="136">
        <v>581562.4</v>
      </c>
      <c r="E11" s="136">
        <v>620086</v>
      </c>
      <c r="F11" s="136">
        <v>555895</v>
      </c>
      <c r="G11" s="162">
        <v>542695</v>
      </c>
    </row>
    <row r="12" spans="1:8" ht="15" x14ac:dyDescent="0.25">
      <c r="A12" s="8">
        <v>332</v>
      </c>
      <c r="B12" s="9" t="s">
        <v>244</v>
      </c>
      <c r="C12" s="136">
        <v>0</v>
      </c>
      <c r="D12" s="136">
        <v>0</v>
      </c>
      <c r="E12" s="136">
        <v>0</v>
      </c>
      <c r="F12" s="136">
        <v>0</v>
      </c>
      <c r="G12" s="162">
        <v>0</v>
      </c>
    </row>
    <row r="13" spans="1:8" ht="15" x14ac:dyDescent="0.25">
      <c r="A13" s="8">
        <v>333</v>
      </c>
      <c r="B13" s="9" t="s">
        <v>18</v>
      </c>
      <c r="C13" s="136">
        <v>0</v>
      </c>
      <c r="D13" s="136">
        <v>0</v>
      </c>
      <c r="E13" s="136">
        <v>0</v>
      </c>
      <c r="F13" s="136">
        <v>0</v>
      </c>
      <c r="G13" s="162">
        <v>0</v>
      </c>
    </row>
    <row r="14" spans="1:8" ht="15" x14ac:dyDescent="0.25">
      <c r="A14" s="7">
        <v>35</v>
      </c>
      <c r="B14" s="5" t="s">
        <v>4</v>
      </c>
      <c r="C14" s="135">
        <v>2653677.0699999998</v>
      </c>
      <c r="D14" s="135">
        <v>2739277.75</v>
      </c>
      <c r="E14" s="135">
        <v>3072136.05</v>
      </c>
      <c r="F14" s="135">
        <v>3273414.59</v>
      </c>
      <c r="G14" s="162">
        <v>3110949</v>
      </c>
    </row>
    <row r="15" spans="1:8" ht="15" x14ac:dyDescent="0.25">
      <c r="A15" s="7">
        <v>36</v>
      </c>
      <c r="B15" s="5" t="s">
        <v>5</v>
      </c>
      <c r="C15" s="135">
        <v>168924.80000000002</v>
      </c>
      <c r="D15" s="135">
        <v>191184.95</v>
      </c>
      <c r="E15" s="135">
        <v>131724</v>
      </c>
      <c r="F15" s="135">
        <v>133423.79999999999</v>
      </c>
      <c r="G15" s="162">
        <v>9300</v>
      </c>
    </row>
    <row r="16" spans="1:8" ht="15" x14ac:dyDescent="0.25">
      <c r="A16" s="7">
        <v>38</v>
      </c>
      <c r="B16" s="5" t="s">
        <v>6</v>
      </c>
      <c r="C16" s="135">
        <v>0</v>
      </c>
      <c r="D16" s="135">
        <v>1067492.82</v>
      </c>
      <c r="E16" s="135">
        <v>18894.2</v>
      </c>
      <c r="F16" s="135">
        <v>80356.33</v>
      </c>
      <c r="G16" s="162">
        <v>0</v>
      </c>
    </row>
    <row r="17" spans="1:7" ht="15" x14ac:dyDescent="0.25">
      <c r="A17" s="8">
        <v>381</v>
      </c>
      <c r="B17" s="9" t="s">
        <v>19</v>
      </c>
      <c r="C17" s="136">
        <v>0</v>
      </c>
      <c r="D17" s="136">
        <v>0</v>
      </c>
      <c r="E17" s="136">
        <v>0</v>
      </c>
      <c r="F17" s="136">
        <v>0</v>
      </c>
      <c r="G17" s="162">
        <v>0</v>
      </c>
    </row>
    <row r="18" spans="1:7" ht="15" x14ac:dyDescent="0.25">
      <c r="A18" s="7">
        <v>39</v>
      </c>
      <c r="B18" s="5" t="s">
        <v>7</v>
      </c>
      <c r="C18" s="135">
        <v>0</v>
      </c>
      <c r="D18" s="135">
        <v>150000</v>
      </c>
      <c r="E18" s="135">
        <v>100000</v>
      </c>
      <c r="F18" s="135">
        <v>82000</v>
      </c>
      <c r="G18" s="162">
        <v>89950</v>
      </c>
    </row>
    <row r="19" spans="1:7" x14ac:dyDescent="0.25">
      <c r="A19" s="10" t="s">
        <v>21</v>
      </c>
      <c r="B19" s="10"/>
      <c r="C19" s="11">
        <f>C4+C5+C6+C9+C14+C15+C16+C18</f>
        <v>6190957.0199999996</v>
      </c>
      <c r="D19" s="11">
        <f t="shared" ref="D19:G19" si="0">D4+D5+D6+D9+D14+D15+D16+D18</f>
        <v>7521467.5000000009</v>
      </c>
      <c r="E19" s="11">
        <f t="shared" si="0"/>
        <v>6722929.3700000001</v>
      </c>
      <c r="F19" s="11">
        <f t="shared" si="0"/>
        <v>7730115.3199999994</v>
      </c>
      <c r="G19" s="11">
        <f t="shared" si="0"/>
        <v>7004204</v>
      </c>
    </row>
    <row r="20" spans="1:7" ht="4.5" customHeight="1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6"/>
      <c r="B21" s="6" t="s">
        <v>138</v>
      </c>
      <c r="C21" s="12">
        <f>C3</f>
        <v>2016</v>
      </c>
      <c r="D21" s="12">
        <f t="shared" ref="D21:G21" si="1">D3</f>
        <v>2017</v>
      </c>
      <c r="E21" s="12">
        <f t="shared" si="1"/>
        <v>2018</v>
      </c>
      <c r="F21" s="12">
        <f t="shared" si="1"/>
        <v>2019</v>
      </c>
      <c r="G21" s="12">
        <f t="shared" si="1"/>
        <v>2020</v>
      </c>
    </row>
    <row r="22" spans="1:7" ht="15" x14ac:dyDescent="0.25">
      <c r="A22" s="7">
        <v>40</v>
      </c>
      <c r="B22" s="5" t="s">
        <v>8</v>
      </c>
      <c r="C22" s="135">
        <v>4008112.7899999996</v>
      </c>
      <c r="D22" s="135">
        <v>4715142.290000001</v>
      </c>
      <c r="E22" s="135">
        <v>4557211.5</v>
      </c>
      <c r="F22" s="135">
        <v>4890624.8599999994</v>
      </c>
      <c r="G22" s="162">
        <v>4503000</v>
      </c>
    </row>
    <row r="23" spans="1:7" ht="15" x14ac:dyDescent="0.25">
      <c r="A23" s="8">
        <v>400</v>
      </c>
      <c r="B23" s="9" t="s">
        <v>124</v>
      </c>
      <c r="C23" s="136">
        <v>3434259.98</v>
      </c>
      <c r="D23" s="136">
        <v>3983829.72</v>
      </c>
      <c r="E23" s="136">
        <v>3856951.66</v>
      </c>
      <c r="F23" s="136">
        <v>4139248.53</v>
      </c>
      <c r="G23" s="162">
        <v>3900000</v>
      </c>
    </row>
    <row r="24" spans="1:7" ht="15" x14ac:dyDescent="0.25">
      <c r="A24" s="8">
        <v>401</v>
      </c>
      <c r="B24" s="9" t="s">
        <v>125</v>
      </c>
      <c r="C24" s="136">
        <v>73107.360000000001</v>
      </c>
      <c r="D24" s="136">
        <v>14294.62</v>
      </c>
      <c r="E24" s="136">
        <v>-4485.3100000000004</v>
      </c>
      <c r="F24" s="136">
        <v>15955.08</v>
      </c>
      <c r="G24" s="162">
        <v>13000</v>
      </c>
    </row>
    <row r="25" spans="1:7" ht="15" x14ac:dyDescent="0.25">
      <c r="A25" s="7">
        <v>41</v>
      </c>
      <c r="B25" s="5" t="s">
        <v>9</v>
      </c>
      <c r="C25" s="135">
        <v>0</v>
      </c>
      <c r="D25" s="135">
        <v>0</v>
      </c>
      <c r="E25" s="135">
        <v>0</v>
      </c>
      <c r="F25" s="135">
        <v>0</v>
      </c>
      <c r="G25" s="162">
        <v>0</v>
      </c>
    </row>
    <row r="26" spans="1:7" ht="15" x14ac:dyDescent="0.25">
      <c r="A26" s="7">
        <v>42</v>
      </c>
      <c r="B26" s="5" t="s">
        <v>10</v>
      </c>
      <c r="C26" s="135">
        <v>271753.28000000003</v>
      </c>
      <c r="D26" s="135">
        <v>249371.37</v>
      </c>
      <c r="E26" s="135">
        <v>259049.77000000002</v>
      </c>
      <c r="F26" s="135">
        <v>260319.76</v>
      </c>
      <c r="G26" s="162">
        <v>230667</v>
      </c>
    </row>
    <row r="27" spans="1:7" ht="15" x14ac:dyDescent="0.25">
      <c r="A27" s="8">
        <v>424</v>
      </c>
      <c r="B27" s="9" t="s">
        <v>15</v>
      </c>
      <c r="C27" s="136">
        <v>0</v>
      </c>
      <c r="D27" s="136">
        <v>0</v>
      </c>
      <c r="E27" s="136">
        <v>0</v>
      </c>
      <c r="F27" s="136">
        <v>0</v>
      </c>
      <c r="G27" s="162">
        <v>0</v>
      </c>
    </row>
    <row r="28" spans="1:7" ht="15" x14ac:dyDescent="0.25">
      <c r="A28" s="7">
        <v>43</v>
      </c>
      <c r="B28" s="5" t="s">
        <v>11</v>
      </c>
      <c r="C28" s="135">
        <v>1281356.01</v>
      </c>
      <c r="D28" s="135">
        <v>1584067.59</v>
      </c>
      <c r="E28" s="135">
        <v>1323549.5499999998</v>
      </c>
      <c r="F28" s="135">
        <v>1459772.96</v>
      </c>
      <c r="G28" s="162">
        <v>1123418</v>
      </c>
    </row>
    <row r="29" spans="1:7" ht="15" x14ac:dyDescent="0.25">
      <c r="A29" s="7">
        <v>44</v>
      </c>
      <c r="B29" s="5" t="s">
        <v>12</v>
      </c>
      <c r="C29" s="135">
        <v>54970.15</v>
      </c>
      <c r="D29" s="135">
        <v>115535.85</v>
      </c>
      <c r="E29" s="135">
        <v>122432.1</v>
      </c>
      <c r="F29" s="135">
        <v>63550.2</v>
      </c>
      <c r="G29" s="162">
        <v>75000</v>
      </c>
    </row>
    <row r="30" spans="1:7" ht="15" x14ac:dyDescent="0.25">
      <c r="A30" s="7">
        <v>45</v>
      </c>
      <c r="B30" s="5" t="s">
        <v>13</v>
      </c>
      <c r="C30" s="135">
        <v>540561.69000000006</v>
      </c>
      <c r="D30" s="135">
        <v>709794.4</v>
      </c>
      <c r="E30" s="135">
        <v>237857.65</v>
      </c>
      <c r="F30" s="135">
        <v>633521.25</v>
      </c>
      <c r="G30" s="162">
        <v>596559</v>
      </c>
    </row>
    <row r="31" spans="1:7" ht="15" x14ac:dyDescent="0.25">
      <c r="A31" s="7">
        <v>46</v>
      </c>
      <c r="B31" s="5" t="s">
        <v>245</v>
      </c>
      <c r="C31" s="135">
        <v>1080</v>
      </c>
      <c r="D31" s="135">
        <v>1080</v>
      </c>
      <c r="E31" s="135">
        <v>1012.5</v>
      </c>
      <c r="F31" s="135">
        <v>9430.5</v>
      </c>
      <c r="G31" s="162">
        <v>11080</v>
      </c>
    </row>
    <row r="32" spans="1:7" ht="15" x14ac:dyDescent="0.25">
      <c r="A32" s="7">
        <v>48</v>
      </c>
      <c r="B32" s="5" t="s">
        <v>14</v>
      </c>
      <c r="C32" s="135">
        <v>40546</v>
      </c>
      <c r="D32" s="135">
        <v>200</v>
      </c>
      <c r="E32" s="135">
        <v>136386.6</v>
      </c>
      <c r="F32" s="135">
        <v>334380.84000000003</v>
      </c>
      <c r="G32" s="162">
        <v>380200</v>
      </c>
    </row>
    <row r="33" spans="1:7" ht="15" x14ac:dyDescent="0.25">
      <c r="A33" s="8">
        <v>481</v>
      </c>
      <c r="B33" s="9" t="s">
        <v>20</v>
      </c>
      <c r="C33" s="136">
        <v>0</v>
      </c>
      <c r="D33" s="136">
        <v>0</v>
      </c>
      <c r="E33" s="136">
        <v>0</v>
      </c>
      <c r="F33" s="136">
        <v>0</v>
      </c>
      <c r="G33" s="162">
        <v>0</v>
      </c>
    </row>
    <row r="34" spans="1:7" ht="15" x14ac:dyDescent="0.25">
      <c r="A34" s="7">
        <v>49</v>
      </c>
      <c r="B34" s="5" t="s">
        <v>7</v>
      </c>
      <c r="C34" s="135">
        <v>0</v>
      </c>
      <c r="D34" s="135">
        <v>150000</v>
      </c>
      <c r="E34" s="135">
        <v>100000</v>
      </c>
      <c r="F34" s="135">
        <v>82000</v>
      </c>
      <c r="G34" s="162">
        <v>89950</v>
      </c>
    </row>
    <row r="35" spans="1:7" x14ac:dyDescent="0.25">
      <c r="A35" s="10" t="s">
        <v>22</v>
      </c>
      <c r="B35" s="10"/>
      <c r="C35" s="11">
        <f>C22+C25+C26+C28+C29+C30+C31+C32+C34</f>
        <v>6198379.9199999999</v>
      </c>
      <c r="D35" s="11">
        <f t="shared" ref="D35:G35" si="2">D22+D25+D26+D28+D29+D30+D31+D32+D34</f>
        <v>7525191.5000000009</v>
      </c>
      <c r="E35" s="11">
        <f t="shared" si="2"/>
        <v>6737499.669999999</v>
      </c>
      <c r="F35" s="11">
        <f t="shared" si="2"/>
        <v>7733600.3699999992</v>
      </c>
      <c r="G35" s="11">
        <f t="shared" si="2"/>
        <v>7009874</v>
      </c>
    </row>
    <row r="36" spans="1:7" ht="4.5" customHeight="1" x14ac:dyDescent="0.25"/>
    <row r="37" spans="1:7" x14ac:dyDescent="0.25">
      <c r="A37" s="10" t="s">
        <v>23</v>
      </c>
      <c r="B37" s="10"/>
      <c r="C37" s="11">
        <f>C35-C19</f>
        <v>7422.9000000003725</v>
      </c>
      <c r="D37" s="11">
        <f t="shared" ref="D37:G37" si="3">D35-D19</f>
        <v>3724</v>
      </c>
      <c r="E37" s="11">
        <f t="shared" si="3"/>
        <v>14570.299999998882</v>
      </c>
      <c r="F37" s="11">
        <f t="shared" si="3"/>
        <v>3485.0499999998137</v>
      </c>
      <c r="G37" s="11">
        <f t="shared" si="3"/>
        <v>5670</v>
      </c>
    </row>
    <row r="39" spans="1:7" x14ac:dyDescent="0.25">
      <c r="A39" s="5" t="s">
        <v>45</v>
      </c>
      <c r="B39" s="5"/>
      <c r="C39" s="7" t="str">
        <f>IF(C18=C34,"OK","Erreur")</f>
        <v>OK</v>
      </c>
      <c r="D39" s="7" t="str">
        <f t="shared" ref="D39:G39" si="4">IF(D18=D34,"OK","Erreur")</f>
        <v>OK</v>
      </c>
      <c r="E39" s="7" t="str">
        <f t="shared" si="4"/>
        <v>OK</v>
      </c>
      <c r="F39" s="7" t="str">
        <f t="shared" si="4"/>
        <v>OK</v>
      </c>
      <c r="G39" s="7" t="str">
        <f t="shared" si="4"/>
        <v>OK</v>
      </c>
    </row>
    <row r="40" spans="1:7" ht="15" x14ac:dyDescent="0.25">
      <c r="A40" s="7">
        <v>900</v>
      </c>
      <c r="B40" s="5" t="s">
        <v>25</v>
      </c>
      <c r="C40" s="135">
        <v>7422.9000000003725</v>
      </c>
      <c r="D40" s="135">
        <v>3724</v>
      </c>
      <c r="E40" s="135">
        <v>14570.299999998882</v>
      </c>
      <c r="F40" s="135">
        <v>3485.0499999988824</v>
      </c>
      <c r="G40" s="162">
        <v>5670</v>
      </c>
    </row>
    <row r="41" spans="1:7" x14ac:dyDescent="0.25">
      <c r="A41" s="5" t="s">
        <v>24</v>
      </c>
      <c r="B41" s="5"/>
      <c r="C41" s="7" t="str">
        <f>IF(ROUND(C37-C40,0)=0,"OK","Erreur")</f>
        <v>OK</v>
      </c>
      <c r="D41" s="7" t="str">
        <f>IF(ROUND(D37-D40,0)=0,"OK","Erreur")</f>
        <v>OK</v>
      </c>
      <c r="E41" s="7" t="str">
        <f>IF(ROUND(E37-E40,0)=0,"OK","Erreur")</f>
        <v>OK</v>
      </c>
      <c r="F41" s="7" t="str">
        <f>IF(ROUND(F37-F40,0)=0,"OK","Erreur")</f>
        <v>OK</v>
      </c>
      <c r="G41" s="7" t="str">
        <f>IF(ROUND(G37-G40,0)=0,"OK","Erreur")</f>
        <v>OK</v>
      </c>
    </row>
    <row r="43" spans="1:7" x14ac:dyDescent="0.25">
      <c r="A43" s="6"/>
      <c r="B43" s="6" t="s">
        <v>139</v>
      </c>
      <c r="C43" s="12">
        <f>C21</f>
        <v>2016</v>
      </c>
      <c r="D43" s="12">
        <f t="shared" ref="D43:G43" si="5">D21</f>
        <v>2017</v>
      </c>
      <c r="E43" s="12">
        <f t="shared" si="5"/>
        <v>2018</v>
      </c>
      <c r="F43" s="12">
        <f t="shared" si="5"/>
        <v>2019</v>
      </c>
      <c r="G43" s="12">
        <f t="shared" si="5"/>
        <v>2020</v>
      </c>
    </row>
    <row r="44" spans="1:7" ht="15" x14ac:dyDescent="0.25">
      <c r="A44" s="7">
        <v>50</v>
      </c>
      <c r="B44" s="5" t="s">
        <v>46</v>
      </c>
      <c r="C44" s="135">
        <v>900135.6</v>
      </c>
      <c r="D44" s="135">
        <v>93950.75</v>
      </c>
      <c r="E44" s="135">
        <v>270750.40000000002</v>
      </c>
      <c r="F44" s="135">
        <v>159467.54999999999</v>
      </c>
      <c r="G44" s="162" t="s">
        <v>261</v>
      </c>
    </row>
    <row r="45" spans="1:7" ht="15" x14ac:dyDescent="0.25">
      <c r="A45" s="7">
        <v>52</v>
      </c>
      <c r="B45" s="5" t="s">
        <v>47</v>
      </c>
      <c r="C45" s="135">
        <v>0</v>
      </c>
      <c r="D45" s="135">
        <v>313252.40000000002</v>
      </c>
      <c r="E45" s="135">
        <v>0</v>
      </c>
      <c r="F45" s="135">
        <v>0</v>
      </c>
      <c r="G45" s="162" t="s">
        <v>261</v>
      </c>
    </row>
    <row r="46" spans="1:7" ht="15" x14ac:dyDescent="0.25">
      <c r="A46" s="7">
        <v>56</v>
      </c>
      <c r="B46" s="5" t="s">
        <v>246</v>
      </c>
      <c r="C46" s="135">
        <v>0</v>
      </c>
      <c r="D46" s="135">
        <v>0</v>
      </c>
      <c r="E46" s="135">
        <v>0</v>
      </c>
      <c r="F46" s="135">
        <v>0</v>
      </c>
      <c r="G46" s="162" t="s">
        <v>261</v>
      </c>
    </row>
    <row r="47" spans="1:7" ht="15" x14ac:dyDescent="0.25">
      <c r="A47" s="7">
        <v>58</v>
      </c>
      <c r="B47" s="5" t="s">
        <v>48</v>
      </c>
      <c r="C47" s="135">
        <v>0</v>
      </c>
      <c r="D47" s="135">
        <v>0</v>
      </c>
      <c r="E47" s="135">
        <v>0</v>
      </c>
      <c r="F47" s="135">
        <v>0</v>
      </c>
      <c r="G47" s="162" t="s">
        <v>261</v>
      </c>
    </row>
    <row r="48" spans="1:7" x14ac:dyDescent="0.25">
      <c r="A48" s="15" t="s">
        <v>53</v>
      </c>
      <c r="B48" s="10"/>
      <c r="C48" s="11">
        <f>SUM(C44:C47)</f>
        <v>900135.6</v>
      </c>
      <c r="D48" s="11">
        <f t="shared" ref="D48:G48" si="6">SUM(D44:D47)</f>
        <v>407203.15</v>
      </c>
      <c r="E48" s="11">
        <f t="shared" si="6"/>
        <v>270750.40000000002</v>
      </c>
      <c r="F48" s="11">
        <f t="shared" si="6"/>
        <v>159467.54999999999</v>
      </c>
      <c r="G48" s="11">
        <f t="shared" si="6"/>
        <v>0</v>
      </c>
    </row>
    <row r="49" spans="1:7" ht="4.5" customHeight="1" x14ac:dyDescent="0.25">
      <c r="A49" s="4"/>
    </row>
    <row r="50" spans="1:7" x14ac:dyDescent="0.25">
      <c r="A50" s="12"/>
      <c r="B50" s="6" t="s">
        <v>140</v>
      </c>
      <c r="C50" s="14">
        <f>C43</f>
        <v>2016</v>
      </c>
      <c r="D50" s="14">
        <f t="shared" ref="D50:G50" si="7">D43</f>
        <v>2017</v>
      </c>
      <c r="E50" s="14">
        <f t="shared" si="7"/>
        <v>2018</v>
      </c>
      <c r="F50" s="14">
        <f t="shared" si="7"/>
        <v>2019</v>
      </c>
      <c r="G50" s="14">
        <f t="shared" si="7"/>
        <v>2020</v>
      </c>
    </row>
    <row r="51" spans="1:7" ht="15" x14ac:dyDescent="0.25">
      <c r="A51" s="7">
        <v>60</v>
      </c>
      <c r="B51" s="5" t="s">
        <v>52</v>
      </c>
      <c r="C51" s="135">
        <v>0</v>
      </c>
      <c r="D51" s="135">
        <v>0</v>
      </c>
      <c r="E51" s="135">
        <v>0</v>
      </c>
      <c r="F51" s="135">
        <v>0</v>
      </c>
      <c r="G51" s="162" t="s">
        <v>261</v>
      </c>
    </row>
    <row r="52" spans="1:7" ht="15" x14ac:dyDescent="0.25">
      <c r="A52" s="7">
        <v>61</v>
      </c>
      <c r="B52" s="5" t="s">
        <v>51</v>
      </c>
      <c r="C52" s="135">
        <v>0</v>
      </c>
      <c r="D52" s="135">
        <v>0</v>
      </c>
      <c r="E52" s="135">
        <v>0</v>
      </c>
      <c r="F52" s="135">
        <v>0</v>
      </c>
      <c r="G52" s="162" t="s">
        <v>261</v>
      </c>
    </row>
    <row r="53" spans="1:7" ht="15" x14ac:dyDescent="0.25">
      <c r="A53" s="7">
        <v>62</v>
      </c>
      <c r="B53" s="5" t="s">
        <v>49</v>
      </c>
      <c r="C53" s="135">
        <v>0</v>
      </c>
      <c r="D53" s="135">
        <v>0</v>
      </c>
      <c r="E53" s="135">
        <v>0</v>
      </c>
      <c r="F53" s="135">
        <v>0</v>
      </c>
      <c r="G53" s="162" t="s">
        <v>261</v>
      </c>
    </row>
    <row r="54" spans="1:7" ht="15" x14ac:dyDescent="0.25">
      <c r="A54" s="7">
        <v>66</v>
      </c>
      <c r="B54" s="5" t="s">
        <v>50</v>
      </c>
      <c r="C54" s="135">
        <v>0</v>
      </c>
      <c r="D54" s="135">
        <v>0</v>
      </c>
      <c r="E54" s="135">
        <v>304236.55</v>
      </c>
      <c r="F54" s="135">
        <v>87339.4</v>
      </c>
      <c r="G54" s="162" t="s">
        <v>261</v>
      </c>
    </row>
    <row r="55" spans="1:7" ht="15" x14ac:dyDescent="0.25">
      <c r="A55" s="7">
        <v>68</v>
      </c>
      <c r="B55" s="5" t="s">
        <v>247</v>
      </c>
      <c r="C55" s="135">
        <v>499553</v>
      </c>
      <c r="D55" s="135">
        <v>581562.4</v>
      </c>
      <c r="E55" s="135">
        <v>620086</v>
      </c>
      <c r="F55" s="135">
        <v>626450.4</v>
      </c>
      <c r="G55" s="162" t="s">
        <v>261</v>
      </c>
    </row>
    <row r="56" spans="1:7" x14ac:dyDescent="0.25">
      <c r="A56" s="10" t="s">
        <v>54</v>
      </c>
      <c r="B56" s="10"/>
      <c r="C56" s="11">
        <f>SUM(C51:C55)</f>
        <v>499553</v>
      </c>
      <c r="D56" s="11">
        <f t="shared" ref="D56:G56" si="8">SUM(D51:D55)</f>
        <v>581562.4</v>
      </c>
      <c r="E56" s="11">
        <f t="shared" si="8"/>
        <v>924322.55</v>
      </c>
      <c r="F56" s="11">
        <f t="shared" si="8"/>
        <v>713789.8</v>
      </c>
      <c r="G56" s="11">
        <f t="shared" si="8"/>
        <v>0</v>
      </c>
    </row>
    <row r="57" spans="1:7" ht="4.5" customHeight="1" x14ac:dyDescent="0.25"/>
    <row r="58" spans="1:7" x14ac:dyDescent="0.25">
      <c r="A58" s="5" t="s">
        <v>56</v>
      </c>
      <c r="B58" s="5"/>
      <c r="C58" s="17" t="str">
        <f>IF(ROUND(C48-C56-C59,0)=0,"OK","Erreur")</f>
        <v>OK</v>
      </c>
      <c r="D58" s="17" t="str">
        <f t="shared" ref="D58:G58" si="9">IF(ROUND(D48-D56-D59,0)=0,"OK","Erreur")</f>
        <v>OK</v>
      </c>
      <c r="E58" s="17" t="str">
        <f t="shared" si="9"/>
        <v>OK</v>
      </c>
      <c r="F58" s="17" t="str">
        <f t="shared" si="9"/>
        <v>OK</v>
      </c>
      <c r="G58" s="17" t="e">
        <f t="shared" si="9"/>
        <v>#VALUE!</v>
      </c>
    </row>
    <row r="59" spans="1:7" ht="15" x14ac:dyDescent="0.25">
      <c r="A59" s="7" t="s">
        <v>55</v>
      </c>
      <c r="B59" s="5" t="s">
        <v>57</v>
      </c>
      <c r="C59" s="135">
        <v>400582.6</v>
      </c>
      <c r="D59" s="135">
        <v>-174359.25</v>
      </c>
      <c r="E59" s="135">
        <v>-653572.15</v>
      </c>
      <c r="F59" s="135">
        <v>-554322.25</v>
      </c>
      <c r="G59" s="162" t="s">
        <v>261</v>
      </c>
    </row>
    <row r="61" spans="1:7" x14ac:dyDescent="0.25">
      <c r="A61" s="6"/>
      <c r="B61" s="6" t="s">
        <v>142</v>
      </c>
      <c r="C61" s="12">
        <f>C85</f>
        <v>2016</v>
      </c>
      <c r="D61" s="12">
        <f>D85</f>
        <v>2017</v>
      </c>
      <c r="E61" s="12">
        <f>E85</f>
        <v>2018</v>
      </c>
      <c r="F61" s="12">
        <f>F85</f>
        <v>2019</v>
      </c>
      <c r="G61" s="12">
        <f>G85</f>
        <v>2020</v>
      </c>
    </row>
    <row r="62" spans="1:7" ht="15" x14ac:dyDescent="0.25">
      <c r="A62" s="8">
        <v>9101</v>
      </c>
      <c r="B62" s="9" t="s">
        <v>136</v>
      </c>
      <c r="C62" s="136">
        <v>262208.03999999998</v>
      </c>
      <c r="D62" s="136">
        <v>244360.44</v>
      </c>
      <c r="E62" s="136">
        <v>725714.92</v>
      </c>
      <c r="F62" s="136">
        <v>246672.25</v>
      </c>
      <c r="G62" s="162" t="s">
        <v>261</v>
      </c>
    </row>
    <row r="63" spans="1:7" ht="15" x14ac:dyDescent="0.25">
      <c r="A63" s="8">
        <v>9102</v>
      </c>
      <c r="B63" s="9" t="s">
        <v>135</v>
      </c>
      <c r="C63" s="136">
        <v>0</v>
      </c>
      <c r="D63" s="136">
        <v>0</v>
      </c>
      <c r="E63" s="136">
        <v>0</v>
      </c>
      <c r="F63" s="136">
        <v>20366.400000000001</v>
      </c>
      <c r="G63" s="162" t="s">
        <v>261</v>
      </c>
    </row>
    <row r="64" spans="1:7" ht="15" x14ac:dyDescent="0.25">
      <c r="A64" s="8">
        <v>9111</v>
      </c>
      <c r="B64" s="9" t="s">
        <v>61</v>
      </c>
      <c r="C64" s="136">
        <v>0</v>
      </c>
      <c r="D64" s="136">
        <v>0</v>
      </c>
      <c r="E64" s="136">
        <v>0</v>
      </c>
      <c r="F64" s="136">
        <v>0</v>
      </c>
      <c r="G64" s="162" t="s">
        <v>261</v>
      </c>
    </row>
    <row r="65" spans="1:7" ht="15" x14ac:dyDescent="0.25">
      <c r="A65" s="8">
        <v>9120</v>
      </c>
      <c r="B65" s="9" t="s">
        <v>62</v>
      </c>
      <c r="C65" s="136">
        <v>5863.6500000000005</v>
      </c>
      <c r="D65" s="136">
        <v>5631.9500000000007</v>
      </c>
      <c r="E65" s="136">
        <v>5508.15</v>
      </c>
      <c r="F65" s="136">
        <v>5272.05</v>
      </c>
      <c r="G65" s="162" t="s">
        <v>261</v>
      </c>
    </row>
    <row r="66" spans="1:7" ht="15" x14ac:dyDescent="0.25">
      <c r="A66" s="8">
        <v>9122</v>
      </c>
      <c r="B66" s="9" t="s">
        <v>63</v>
      </c>
      <c r="C66" s="136"/>
      <c r="D66" s="136"/>
      <c r="E66" s="136"/>
      <c r="F66" s="136"/>
      <c r="G66" s="162" t="s">
        <v>261</v>
      </c>
    </row>
    <row r="67" spans="1:7" ht="15" x14ac:dyDescent="0.25">
      <c r="A67" s="7">
        <v>915</v>
      </c>
      <c r="B67" s="5" t="s">
        <v>64</v>
      </c>
      <c r="C67" s="135">
        <v>55145</v>
      </c>
      <c r="D67" s="135">
        <v>368397.4</v>
      </c>
      <c r="E67" s="135">
        <v>368397.4</v>
      </c>
      <c r="F67" s="135">
        <v>297842</v>
      </c>
      <c r="G67" s="162" t="s">
        <v>261</v>
      </c>
    </row>
    <row r="68" spans="1:7" ht="15" x14ac:dyDescent="0.25">
      <c r="A68" s="24" t="s">
        <v>165</v>
      </c>
      <c r="B68" s="5"/>
      <c r="C68" s="135">
        <v>19210495.789999999</v>
      </c>
      <c r="D68" s="135">
        <v>19157614.59</v>
      </c>
      <c r="E68" s="135">
        <v>18901072.029999997</v>
      </c>
      <c r="F68" s="135">
        <v>18036968.73</v>
      </c>
      <c r="G68" s="162" t="s">
        <v>261</v>
      </c>
    </row>
    <row r="69" spans="1:7" x14ac:dyDescent="0.25">
      <c r="A69" s="140">
        <v>0.02</v>
      </c>
      <c r="B69" s="5" t="s">
        <v>166</v>
      </c>
      <c r="C69" s="129">
        <f>C68*$A$69</f>
        <v>384209.91580000002</v>
      </c>
      <c r="D69" s="129">
        <f t="shared" ref="D69:F69" si="10">D68*$A$69</f>
        <v>383152.29180000001</v>
      </c>
      <c r="E69" s="129">
        <f t="shared" si="10"/>
        <v>378021.44059999997</v>
      </c>
      <c r="F69" s="129">
        <f t="shared" si="10"/>
        <v>360739.37460000004</v>
      </c>
      <c r="G69" s="129" t="e">
        <f>G68*$A$69</f>
        <v>#VALUE!</v>
      </c>
    </row>
    <row r="70" spans="1:7" x14ac:dyDescent="0.25">
      <c r="A70" s="10" t="s">
        <v>65</v>
      </c>
      <c r="B70" s="10"/>
      <c r="C70" s="11">
        <f>IF((SUM(C62:C67))-C69&lt;0,0,(SUM(C62:C67)))</f>
        <v>0</v>
      </c>
      <c r="D70" s="11">
        <f t="shared" ref="D70:F70" si="11">IF((SUM(D62:D67))-D69&lt;0,0,(SUM(D62:D67)))</f>
        <v>618389.79</v>
      </c>
      <c r="E70" s="11">
        <f t="shared" si="11"/>
        <v>1099620.4700000002</v>
      </c>
      <c r="F70" s="11">
        <f t="shared" si="11"/>
        <v>570152.69999999995</v>
      </c>
      <c r="G70" s="11" t="e">
        <f>IF((SUM(G62:G67))-G69&lt;0,0,(SUM(G62:G67)))</f>
        <v>#VALUE!</v>
      </c>
    </row>
    <row r="71" spans="1:7" ht="4.5" customHeight="1" x14ac:dyDescent="0.25"/>
    <row r="72" spans="1:7" x14ac:dyDescent="0.25">
      <c r="A72" s="10" t="s">
        <v>69</v>
      </c>
      <c r="B72" s="10"/>
      <c r="C72" s="11">
        <f>C90-C70</f>
        <v>15805267.5</v>
      </c>
      <c r="D72" s="11">
        <f>D90-D70</f>
        <v>15118637.91</v>
      </c>
      <c r="E72" s="11">
        <f>E90-E70</f>
        <v>14405548.129999999</v>
      </c>
      <c r="F72" s="11">
        <f>F90-F70</f>
        <v>14132261.5</v>
      </c>
      <c r="G72" s="11" t="e">
        <f>G90-G70</f>
        <v>#VALUE!</v>
      </c>
    </row>
    <row r="74" spans="1:7" x14ac:dyDescent="0.25">
      <c r="A74" s="6"/>
      <c r="B74" s="6" t="s">
        <v>143</v>
      </c>
      <c r="C74" s="12">
        <f>C61</f>
        <v>2016</v>
      </c>
      <c r="D74" s="12">
        <f t="shared" ref="D74:G74" si="12">D61</f>
        <v>2017</v>
      </c>
      <c r="E74" s="12">
        <f t="shared" si="12"/>
        <v>2018</v>
      </c>
      <c r="F74" s="12">
        <f t="shared" si="12"/>
        <v>2019</v>
      </c>
      <c r="G74" s="12">
        <f t="shared" si="12"/>
        <v>2020</v>
      </c>
    </row>
    <row r="75" spans="1:7" ht="15" x14ac:dyDescent="0.25">
      <c r="A75" s="7">
        <v>910</v>
      </c>
      <c r="B75" s="5" t="s">
        <v>112</v>
      </c>
      <c r="C75" s="135">
        <v>308616.78999999998</v>
      </c>
      <c r="D75" s="135">
        <v>394626.99</v>
      </c>
      <c r="E75" s="135">
        <v>873511.42</v>
      </c>
      <c r="F75" s="135">
        <v>395036.75</v>
      </c>
      <c r="G75" s="162" t="s">
        <v>261</v>
      </c>
    </row>
    <row r="76" spans="1:7" ht="15" x14ac:dyDescent="0.25">
      <c r="A76" s="7">
        <v>911</v>
      </c>
      <c r="B76" s="5" t="s">
        <v>113</v>
      </c>
      <c r="C76" s="135">
        <v>2631881.91</v>
      </c>
      <c r="D76" s="135">
        <v>2796591.25</v>
      </c>
      <c r="E76" s="135">
        <v>2747299.5500000003</v>
      </c>
      <c r="F76" s="135">
        <v>2959593.78</v>
      </c>
      <c r="G76" s="162" t="s">
        <v>261</v>
      </c>
    </row>
    <row r="77" spans="1:7" ht="15" x14ac:dyDescent="0.25">
      <c r="A77" s="7">
        <v>912</v>
      </c>
      <c r="B77" s="5" t="s">
        <v>114</v>
      </c>
      <c r="C77" s="135">
        <v>85258.65</v>
      </c>
      <c r="D77" s="135">
        <v>55641.95</v>
      </c>
      <c r="E77" s="135">
        <v>69176.55</v>
      </c>
      <c r="F77" s="135">
        <v>88940.45</v>
      </c>
      <c r="G77" s="162" t="s">
        <v>261</v>
      </c>
    </row>
    <row r="78" spans="1:7" ht="15" x14ac:dyDescent="0.25">
      <c r="A78" s="8">
        <v>9123</v>
      </c>
      <c r="B78" s="9" t="s">
        <v>248</v>
      </c>
      <c r="C78" s="136">
        <v>50010</v>
      </c>
      <c r="D78" s="136">
        <v>50010</v>
      </c>
      <c r="E78" s="136">
        <v>63668.4</v>
      </c>
      <c r="F78" s="136">
        <v>83668.399999999994</v>
      </c>
      <c r="G78" s="162" t="s">
        <v>261</v>
      </c>
    </row>
    <row r="79" spans="1:7" ht="15" x14ac:dyDescent="0.25">
      <c r="A79" s="7">
        <v>913</v>
      </c>
      <c r="B79" s="5" t="s">
        <v>118</v>
      </c>
      <c r="C79" s="135">
        <v>197970.14</v>
      </c>
      <c r="D79" s="135">
        <v>158345.35</v>
      </c>
      <c r="E79" s="135">
        <v>112247.61</v>
      </c>
      <c r="F79" s="135">
        <v>48883</v>
      </c>
      <c r="G79" s="162" t="s">
        <v>261</v>
      </c>
    </row>
    <row r="80" spans="1:7" ht="15" x14ac:dyDescent="0.25">
      <c r="A80" s="7">
        <v>920</v>
      </c>
      <c r="B80" s="5" t="s">
        <v>115</v>
      </c>
      <c r="C80" s="135">
        <v>2393401.7100000004</v>
      </c>
      <c r="D80" s="135">
        <v>1313299.08</v>
      </c>
      <c r="E80" s="135">
        <v>1371773.12</v>
      </c>
      <c r="F80" s="135">
        <v>1532777.2800000003</v>
      </c>
      <c r="G80" s="162" t="s">
        <v>261</v>
      </c>
    </row>
    <row r="81" spans="1:7" ht="15" x14ac:dyDescent="0.25">
      <c r="A81" s="7">
        <v>925</v>
      </c>
      <c r="B81" s="5" t="s">
        <v>116</v>
      </c>
      <c r="C81" s="135">
        <v>252974.84</v>
      </c>
      <c r="D81" s="135">
        <v>277419.25</v>
      </c>
      <c r="E81" s="135">
        <v>217048.85</v>
      </c>
      <c r="F81" s="135">
        <v>94459.25</v>
      </c>
      <c r="G81" s="162" t="s">
        <v>261</v>
      </c>
    </row>
    <row r="82" spans="1:7" x14ac:dyDescent="0.25">
      <c r="A82" s="7">
        <f t="shared" ref="A82:G82" si="13">A89</f>
        <v>923</v>
      </c>
      <c r="B82" s="5" t="str">
        <f t="shared" si="13"/>
        <v>Engagements envers des entités</v>
      </c>
      <c r="C82" s="16">
        <f t="shared" si="13"/>
        <v>0</v>
      </c>
      <c r="D82" s="16">
        <f t="shared" si="13"/>
        <v>0</v>
      </c>
      <c r="E82" s="16">
        <f t="shared" si="13"/>
        <v>0</v>
      </c>
      <c r="F82" s="16">
        <f t="shared" si="13"/>
        <v>0</v>
      </c>
      <c r="G82" s="16" t="str">
        <f t="shared" si="13"/>
        <v>?</v>
      </c>
    </row>
    <row r="83" spans="1:7" x14ac:dyDescent="0.25">
      <c r="A83" s="10" t="s">
        <v>117</v>
      </c>
      <c r="B83" s="10"/>
      <c r="C83" s="11">
        <f>C75+C76+C77-C78+C79-C80-C81-C82</f>
        <v>527340.93999999983</v>
      </c>
      <c r="D83" s="11">
        <f t="shared" ref="D83:G83" si="14">D75+D76+D77-D78+D79-D80-D81-D82</f>
        <v>1764477.2100000004</v>
      </c>
      <c r="E83" s="11">
        <f t="shared" si="14"/>
        <v>2149744.7599999998</v>
      </c>
      <c r="F83" s="11">
        <f t="shared" si="14"/>
        <v>1781549.0499999998</v>
      </c>
      <c r="G83" s="11" t="e">
        <f t="shared" si="14"/>
        <v>#VALUE!</v>
      </c>
    </row>
    <row r="85" spans="1:7" x14ac:dyDescent="0.25">
      <c r="A85" s="6"/>
      <c r="B85" s="6" t="s">
        <v>141</v>
      </c>
      <c r="C85" s="12">
        <f>C50</f>
        <v>2016</v>
      </c>
      <c r="D85" s="12">
        <f>D50</f>
        <v>2017</v>
      </c>
      <c r="E85" s="12">
        <f>E50</f>
        <v>2018</v>
      </c>
      <c r="F85" s="12">
        <f>F50</f>
        <v>2019</v>
      </c>
      <c r="G85" s="12">
        <f>G50</f>
        <v>2020</v>
      </c>
    </row>
    <row r="86" spans="1:7" ht="15" x14ac:dyDescent="0.25">
      <c r="A86" s="8">
        <v>9206</v>
      </c>
      <c r="B86" s="9" t="s">
        <v>58</v>
      </c>
      <c r="C86" s="136"/>
      <c r="D86" s="136"/>
      <c r="E86" s="136"/>
      <c r="F86" s="136"/>
      <c r="G86" s="162" t="s">
        <v>261</v>
      </c>
    </row>
    <row r="87" spans="1:7" ht="15" x14ac:dyDescent="0.25">
      <c r="A87" s="7">
        <v>921</v>
      </c>
      <c r="B87" s="5" t="s">
        <v>249</v>
      </c>
      <c r="C87" s="135">
        <v>0</v>
      </c>
      <c r="D87" s="135">
        <v>85010.2</v>
      </c>
      <c r="E87" s="135">
        <v>82925.2</v>
      </c>
      <c r="F87" s="135">
        <v>19746.7</v>
      </c>
      <c r="G87" s="162" t="s">
        <v>261</v>
      </c>
    </row>
    <row r="88" spans="1:7" ht="15" x14ac:dyDescent="0.25">
      <c r="A88" s="7">
        <v>922</v>
      </c>
      <c r="B88" s="5" t="s">
        <v>250</v>
      </c>
      <c r="C88" s="135">
        <v>15805267.5</v>
      </c>
      <c r="D88" s="135">
        <v>15652017.5</v>
      </c>
      <c r="E88" s="135">
        <v>15422243.4</v>
      </c>
      <c r="F88" s="135">
        <v>14682667.5</v>
      </c>
      <c r="G88" s="162" t="s">
        <v>261</v>
      </c>
    </row>
    <row r="89" spans="1:7" ht="15" x14ac:dyDescent="0.25">
      <c r="A89" s="7">
        <v>923</v>
      </c>
      <c r="B89" s="5" t="s">
        <v>59</v>
      </c>
      <c r="C89" s="135">
        <v>0</v>
      </c>
      <c r="D89" s="135">
        <v>0</v>
      </c>
      <c r="E89" s="135">
        <v>0</v>
      </c>
      <c r="F89" s="135">
        <v>0</v>
      </c>
      <c r="G89" s="162" t="s">
        <v>261</v>
      </c>
    </row>
    <row r="90" spans="1:7" x14ac:dyDescent="0.25">
      <c r="A90" s="10" t="s">
        <v>60</v>
      </c>
      <c r="B90" s="10"/>
      <c r="C90" s="11">
        <f>SUM(C86:C89)</f>
        <v>15805267.5</v>
      </c>
      <c r="D90" s="11">
        <f t="shared" ref="D90:G90" si="15">SUM(D86:D89)</f>
        <v>15737027.699999999</v>
      </c>
      <c r="E90" s="11">
        <f t="shared" si="15"/>
        <v>15505168.6</v>
      </c>
      <c r="F90" s="11">
        <f t="shared" si="15"/>
        <v>14702414.199999999</v>
      </c>
      <c r="G90" s="11">
        <f t="shared" si="15"/>
        <v>0</v>
      </c>
    </row>
    <row r="91" spans="1:7" ht="4.5" customHeight="1" x14ac:dyDescent="0.25"/>
    <row r="92" spans="1:7" x14ac:dyDescent="0.25">
      <c r="A92" s="10" t="s">
        <v>193</v>
      </c>
      <c r="B92" s="10"/>
      <c r="C92" s="161">
        <f>IF(C90&lt;=0,0,(C7+C8)/C90)</f>
        <v>1.8447929464022041E-2</v>
      </c>
      <c r="D92" s="161">
        <f t="shared" ref="D92:G92" si="16">IF(D90&lt;=0,0,(D7+D8)/D90)</f>
        <v>1.8591777658242291E-2</v>
      </c>
      <c r="E92" s="161">
        <f t="shared" si="16"/>
        <v>1.8615952360556725E-2</v>
      </c>
      <c r="F92" s="161">
        <f t="shared" si="16"/>
        <v>1.9046048913517893E-2</v>
      </c>
      <c r="G92" s="161">
        <f t="shared" si="16"/>
        <v>0</v>
      </c>
    </row>
    <row r="94" spans="1:7" x14ac:dyDescent="0.25">
      <c r="A94" s="6"/>
      <c r="B94" s="6" t="s">
        <v>144</v>
      </c>
      <c r="C94" s="12">
        <f>C61</f>
        <v>2016</v>
      </c>
      <c r="D94" s="12">
        <f t="shared" ref="D94:G94" si="17">D61</f>
        <v>2017</v>
      </c>
      <c r="E94" s="12">
        <f t="shared" si="17"/>
        <v>2018</v>
      </c>
      <c r="F94" s="12">
        <f t="shared" si="17"/>
        <v>2019</v>
      </c>
      <c r="G94" s="12">
        <f t="shared" si="17"/>
        <v>2020</v>
      </c>
    </row>
    <row r="95" spans="1:7" ht="15" x14ac:dyDescent="0.25">
      <c r="A95" s="8">
        <v>9280</v>
      </c>
      <c r="B95" s="9" t="s">
        <v>108</v>
      </c>
      <c r="C95" s="136">
        <v>6400</v>
      </c>
      <c r="D95" s="136">
        <v>278480.42000000004</v>
      </c>
      <c r="E95" s="136">
        <v>271723.02</v>
      </c>
      <c r="F95" s="136">
        <v>315065.91000000003</v>
      </c>
      <c r="G95" s="162" t="s">
        <v>261</v>
      </c>
    </row>
    <row r="96" spans="1:7" ht="15" x14ac:dyDescent="0.25">
      <c r="A96" s="8">
        <v>9281</v>
      </c>
      <c r="B96" s="9" t="s">
        <v>109</v>
      </c>
      <c r="C96" s="136">
        <v>145408.70000000001</v>
      </c>
      <c r="D96" s="136">
        <v>940621.1</v>
      </c>
      <c r="E96" s="136">
        <v>910021.1</v>
      </c>
      <c r="F96" s="136">
        <v>615105.69999999995</v>
      </c>
      <c r="G96" s="162" t="s">
        <v>261</v>
      </c>
    </row>
    <row r="97" spans="1:7" ht="15" x14ac:dyDescent="0.25">
      <c r="A97" s="8">
        <v>9282</v>
      </c>
      <c r="B97" s="9" t="s">
        <v>110</v>
      </c>
      <c r="C97" s="136">
        <v>0</v>
      </c>
      <c r="D97" s="136">
        <v>0</v>
      </c>
      <c r="E97" s="136">
        <v>0</v>
      </c>
      <c r="F97" s="136">
        <v>148324</v>
      </c>
      <c r="G97" s="162" t="s">
        <v>261</v>
      </c>
    </row>
    <row r="98" spans="1:7" x14ac:dyDescent="0.25">
      <c r="A98" s="10" t="s">
        <v>111</v>
      </c>
      <c r="B98" s="10"/>
      <c r="C98" s="11">
        <f>SUM(C95:C97)</f>
        <v>151808.70000000001</v>
      </c>
      <c r="D98" s="11">
        <f t="shared" ref="D98:G98" si="18">SUM(D95:D97)</f>
        <v>1219101.52</v>
      </c>
      <c r="E98" s="11">
        <f t="shared" si="18"/>
        <v>1181744.1200000001</v>
      </c>
      <c r="F98" s="11">
        <f t="shared" si="18"/>
        <v>1078495.6099999999</v>
      </c>
      <c r="G98" s="11">
        <f t="shared" si="18"/>
        <v>0</v>
      </c>
    </row>
    <row r="100" spans="1:7" x14ac:dyDescent="0.25">
      <c r="A100" s="6"/>
      <c r="B100" s="6" t="s">
        <v>145</v>
      </c>
      <c r="C100" s="12">
        <f>C94</f>
        <v>2016</v>
      </c>
      <c r="D100" s="12">
        <f>D94</f>
        <v>2017</v>
      </c>
      <c r="E100" s="12">
        <f>E94</f>
        <v>2018</v>
      </c>
      <c r="F100" s="12">
        <f>F94</f>
        <v>2019</v>
      </c>
      <c r="G100" s="12">
        <f>G94</f>
        <v>2020</v>
      </c>
    </row>
    <row r="101" spans="1:7" x14ac:dyDescent="0.25">
      <c r="A101" s="5"/>
      <c r="B101" s="5" t="s">
        <v>128</v>
      </c>
      <c r="C101" s="137">
        <v>71</v>
      </c>
      <c r="D101" s="137">
        <v>74</v>
      </c>
      <c r="E101" s="137">
        <v>74</v>
      </c>
      <c r="F101" s="137">
        <v>74</v>
      </c>
      <c r="G101" s="137">
        <v>72.5</v>
      </c>
    </row>
    <row r="103" spans="1:7" x14ac:dyDescent="0.25">
      <c r="A103" s="6"/>
      <c r="B103" s="6" t="s">
        <v>162</v>
      </c>
      <c r="C103" s="12">
        <f>C100</f>
        <v>2016</v>
      </c>
      <c r="D103" s="12">
        <f t="shared" ref="D103:G103" si="19">D100</f>
        <v>2017</v>
      </c>
      <c r="E103" s="12">
        <f t="shared" si="19"/>
        <v>2018</v>
      </c>
      <c r="F103" s="12">
        <f t="shared" si="19"/>
        <v>2019</v>
      </c>
      <c r="G103" s="12">
        <f t="shared" si="19"/>
        <v>2020</v>
      </c>
    </row>
    <row r="104" spans="1:7" ht="15" x14ac:dyDescent="0.25">
      <c r="A104" s="130">
        <v>3301</v>
      </c>
      <c r="B104" s="9" t="s">
        <v>163</v>
      </c>
      <c r="C104" s="136"/>
      <c r="D104" s="136"/>
      <c r="E104" s="136"/>
      <c r="F104" s="136"/>
      <c r="G104" s="162"/>
    </row>
    <row r="105" spans="1:7" ht="15" x14ac:dyDescent="0.25">
      <c r="A105" s="130">
        <v>3302</v>
      </c>
      <c r="B105" s="9" t="s">
        <v>164</v>
      </c>
      <c r="C105" s="136"/>
      <c r="D105" s="136"/>
      <c r="E105" s="136"/>
      <c r="F105" s="136"/>
      <c r="G105" s="162"/>
    </row>
    <row r="106" spans="1:7" ht="15" x14ac:dyDescent="0.25">
      <c r="A106" s="130">
        <v>3309</v>
      </c>
      <c r="B106" s="9" t="s">
        <v>251</v>
      </c>
      <c r="C106" s="136"/>
      <c r="D106" s="136"/>
      <c r="E106" s="136"/>
      <c r="F106" s="136"/>
      <c r="G106" s="162"/>
    </row>
  </sheetData>
  <sheetProtection sort="0" autoFilter="0"/>
  <mergeCells count="1">
    <mergeCell ref="D1:G1"/>
  </mergeCells>
  <conditionalFormatting sqref="C39:G41">
    <cfRule type="cellIs" dxfId="57" priority="3" operator="equal">
      <formula>"Erreur"</formula>
    </cfRule>
    <cfRule type="cellIs" dxfId="56" priority="4" operator="equal">
      <formula>"OK"</formula>
    </cfRule>
  </conditionalFormatting>
  <conditionalFormatting sqref="C58:G58">
    <cfRule type="cellIs" dxfId="55" priority="1" operator="equal">
      <formula>"Erreur"</formula>
    </cfRule>
    <cfRule type="cellIs" dxfId="54" priority="2" operator="equal">
      <formula>"OK"</formula>
    </cfRule>
  </conditionalFormatting>
  <pageMargins left="0.25" right="0.25" top="0.75" bottom="0.75" header="0.3" footer="0.3"/>
  <pageSetup paperSize="9" orientation="portrait" r:id="rId1"/>
  <headerFooter>
    <oddHeader>&amp;C&amp;A</oddHeader>
    <oddFooter>&amp;L&amp;8Fichier d'analyse réalisé par l'UCV
conseils@ucv.ch&amp;C&amp;G&amp;R&amp;P/&amp;N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CFD8-38FC-4F17-BB63-903D1EA473E6}">
  <sheetPr>
    <tabColor theme="0" tint="-0.34998626667073579"/>
  </sheetPr>
  <dimension ref="A1:H106"/>
  <sheetViews>
    <sheetView tabSelected="1" showWhiteSpace="0" view="pageLayout" zoomScale="130" zoomScaleNormal="100" zoomScalePageLayoutView="130" workbookViewId="0">
      <selection activeCell="J42" sqref="J42"/>
    </sheetView>
  </sheetViews>
  <sheetFormatPr baseColWidth="10" defaultRowHeight="13.5" x14ac:dyDescent="0.25"/>
  <cols>
    <col min="1" max="1" width="10.19921875" customWidth="1"/>
    <col min="2" max="2" width="7.19921875" customWidth="1"/>
    <col min="3" max="3" width="47.19921875" customWidth="1"/>
    <col min="4" max="8" width="14" customWidth="1"/>
  </cols>
  <sheetData>
    <row r="1" spans="1:8" ht="16.5" x14ac:dyDescent="0.3">
      <c r="A1" s="1" t="s">
        <v>26</v>
      </c>
      <c r="D1" s="166" t="str">
        <f>Données!D1</f>
        <v>Bassins</v>
      </c>
      <c r="E1" s="166"/>
      <c r="F1" s="166"/>
      <c r="G1" s="166"/>
      <c r="H1" s="166"/>
    </row>
    <row r="2" spans="1:8" ht="4.5" customHeight="1" thickBot="1" x14ac:dyDescent="0.35">
      <c r="A2" s="1"/>
    </row>
    <row r="3" spans="1:8" ht="15" x14ac:dyDescent="0.25">
      <c r="A3" s="44" t="s">
        <v>67</v>
      </c>
      <c r="B3" s="26"/>
      <c r="C3" s="26"/>
      <c r="D3" s="26"/>
      <c r="E3" s="26"/>
      <c r="F3" s="26"/>
      <c r="G3" s="26"/>
      <c r="H3" s="163" t="str">
        <f>Données!G2</f>
        <v>Budget</v>
      </c>
    </row>
    <row r="4" spans="1:8" ht="4.5" customHeight="1" x14ac:dyDescent="0.25">
      <c r="A4" s="38"/>
      <c r="B4" s="13"/>
      <c r="C4" s="13"/>
      <c r="D4" s="13"/>
      <c r="E4" s="13"/>
      <c r="F4" s="13"/>
      <c r="G4" s="13"/>
      <c r="H4" s="54"/>
    </row>
    <row r="5" spans="1:8" x14ac:dyDescent="0.25">
      <c r="A5" s="45" t="s">
        <v>27</v>
      </c>
      <c r="B5" s="12" t="s">
        <v>28</v>
      </c>
      <c r="C5" s="12" t="s">
        <v>29</v>
      </c>
      <c r="D5" s="12">
        <f>Données!C3</f>
        <v>2016</v>
      </c>
      <c r="E5" s="12">
        <f>Données!D3</f>
        <v>2017</v>
      </c>
      <c r="F5" s="12">
        <f>Données!E3</f>
        <v>2018</v>
      </c>
      <c r="G5" s="12">
        <f>Données!F3</f>
        <v>2019</v>
      </c>
      <c r="H5" s="46">
        <f>Données!G3</f>
        <v>2020</v>
      </c>
    </row>
    <row r="6" spans="1:8" x14ac:dyDescent="0.25">
      <c r="A6" s="47">
        <v>4</v>
      </c>
      <c r="B6" s="7" t="s">
        <v>30</v>
      </c>
      <c r="C6" s="5" t="s">
        <v>33</v>
      </c>
      <c r="D6" s="16">
        <f>Données!C35</f>
        <v>6198379.9199999999</v>
      </c>
      <c r="E6" s="16">
        <f>Données!D35</f>
        <v>7525191.5000000009</v>
      </c>
      <c r="F6" s="16">
        <f>Données!E35</f>
        <v>6737499.669999999</v>
      </c>
      <c r="G6" s="16">
        <f>Données!F35</f>
        <v>7733600.3699999992</v>
      </c>
      <c r="H6" s="33">
        <f>Données!G35</f>
        <v>7009874</v>
      </c>
    </row>
    <row r="7" spans="1:8" x14ac:dyDescent="0.25">
      <c r="A7" s="47">
        <v>3</v>
      </c>
      <c r="B7" s="7" t="s">
        <v>31</v>
      </c>
      <c r="C7" s="5" t="s">
        <v>34</v>
      </c>
      <c r="D7" s="16">
        <f>Données!C19</f>
        <v>6190957.0199999996</v>
      </c>
      <c r="E7" s="16">
        <f>Données!D19</f>
        <v>7521467.5000000009</v>
      </c>
      <c r="F7" s="16">
        <f>Données!E19</f>
        <v>6722929.3700000001</v>
      </c>
      <c r="G7" s="16">
        <f>Données!F19</f>
        <v>7730115.3199999994</v>
      </c>
      <c r="H7" s="33">
        <f>Données!G19</f>
        <v>7004204</v>
      </c>
    </row>
    <row r="8" spans="1:8" x14ac:dyDescent="0.25">
      <c r="A8" s="48"/>
      <c r="B8" s="25" t="s">
        <v>32</v>
      </c>
      <c r="C8" s="10" t="s">
        <v>35</v>
      </c>
      <c r="D8" s="11">
        <f>D6-D7</f>
        <v>7422.9000000003725</v>
      </c>
      <c r="E8" s="11">
        <f t="shared" ref="E8:H8" si="0">E6-E7</f>
        <v>3724</v>
      </c>
      <c r="F8" s="11">
        <f t="shared" si="0"/>
        <v>14570.299999998882</v>
      </c>
      <c r="G8" s="11">
        <f t="shared" si="0"/>
        <v>3485.0499999998137</v>
      </c>
      <c r="H8" s="35">
        <f t="shared" si="0"/>
        <v>5670</v>
      </c>
    </row>
    <row r="9" spans="1:8" x14ac:dyDescent="0.25">
      <c r="A9" s="47">
        <v>48</v>
      </c>
      <c r="B9" s="7" t="s">
        <v>31</v>
      </c>
      <c r="C9" s="5" t="s">
        <v>169</v>
      </c>
      <c r="D9" s="16">
        <f>-Données!C32+Données!C33</f>
        <v>-40546</v>
      </c>
      <c r="E9" s="16">
        <f>-Données!D32+Données!D33</f>
        <v>-200</v>
      </c>
      <c r="F9" s="16">
        <f>-Données!E32+Données!E33</f>
        <v>-136386.6</v>
      </c>
      <c r="G9" s="16">
        <f>-Données!F32+Données!F33</f>
        <v>-334380.84000000003</v>
      </c>
      <c r="H9" s="33">
        <f>-Données!G32+Données!G33</f>
        <v>-380200</v>
      </c>
    </row>
    <row r="10" spans="1:8" x14ac:dyDescent="0.25">
      <c r="A10" s="47">
        <v>49</v>
      </c>
      <c r="B10" s="7" t="s">
        <v>31</v>
      </c>
      <c r="C10" s="5" t="s">
        <v>36</v>
      </c>
      <c r="D10" s="16">
        <f>-Données!C34</f>
        <v>0</v>
      </c>
      <c r="E10" s="16">
        <f>-Données!D34</f>
        <v>-150000</v>
      </c>
      <c r="F10" s="16">
        <f>-Données!E34</f>
        <v>-100000</v>
      </c>
      <c r="G10" s="16">
        <f>-Données!F34</f>
        <v>-82000</v>
      </c>
      <c r="H10" s="33">
        <f>-Données!G34</f>
        <v>-89950</v>
      </c>
    </row>
    <row r="11" spans="1:8" x14ac:dyDescent="0.25">
      <c r="A11" s="47">
        <v>424</v>
      </c>
      <c r="B11" s="7" t="s">
        <v>31</v>
      </c>
      <c r="C11" s="5" t="s">
        <v>15</v>
      </c>
      <c r="D11" s="16">
        <f>-Données!C27</f>
        <v>0</v>
      </c>
      <c r="E11" s="16">
        <f>-Données!D27</f>
        <v>0</v>
      </c>
      <c r="F11" s="16">
        <f>-Données!E27</f>
        <v>0</v>
      </c>
      <c r="G11" s="16">
        <f>-Données!F27</f>
        <v>0</v>
      </c>
      <c r="H11" s="33">
        <f>-Données!G27</f>
        <v>0</v>
      </c>
    </row>
    <row r="12" spans="1:8" x14ac:dyDescent="0.25">
      <c r="A12" s="47">
        <v>332</v>
      </c>
      <c r="B12" s="7" t="s">
        <v>30</v>
      </c>
      <c r="C12" s="5" t="s">
        <v>37</v>
      </c>
      <c r="D12" s="16">
        <f>Données!C12</f>
        <v>0</v>
      </c>
      <c r="E12" s="16">
        <f>Données!D12</f>
        <v>0</v>
      </c>
      <c r="F12" s="16">
        <f>Données!E12</f>
        <v>0</v>
      </c>
      <c r="G12" s="16">
        <f>Données!F12</f>
        <v>0</v>
      </c>
      <c r="H12" s="33">
        <f>Données!G12</f>
        <v>0</v>
      </c>
    </row>
    <row r="13" spans="1:8" x14ac:dyDescent="0.25">
      <c r="A13" s="47">
        <v>333</v>
      </c>
      <c r="B13" s="7" t="s">
        <v>30</v>
      </c>
      <c r="C13" s="5" t="s">
        <v>18</v>
      </c>
      <c r="D13" s="16">
        <f>Données!C13</f>
        <v>0</v>
      </c>
      <c r="E13" s="16">
        <f>Données!D13</f>
        <v>0</v>
      </c>
      <c r="F13" s="16">
        <f>Données!E13</f>
        <v>0</v>
      </c>
      <c r="G13" s="16">
        <f>Données!F13</f>
        <v>0</v>
      </c>
      <c r="H13" s="33">
        <f>Données!G13</f>
        <v>0</v>
      </c>
    </row>
    <row r="14" spans="1:8" x14ac:dyDescent="0.25">
      <c r="A14" s="47">
        <v>38</v>
      </c>
      <c r="B14" s="7" t="s">
        <v>30</v>
      </c>
      <c r="C14" s="5" t="s">
        <v>170</v>
      </c>
      <c r="D14" s="16">
        <f>Données!C16-Données!C17</f>
        <v>0</v>
      </c>
      <c r="E14" s="16">
        <f>Données!D16-Données!D17</f>
        <v>1067492.82</v>
      </c>
      <c r="F14" s="16">
        <f>Données!E16-Données!E17</f>
        <v>18894.2</v>
      </c>
      <c r="G14" s="16">
        <f>Données!F16-Données!F17</f>
        <v>80356.33</v>
      </c>
      <c r="H14" s="33">
        <f>Données!G16-Données!G17</f>
        <v>0</v>
      </c>
    </row>
    <row r="15" spans="1:8" x14ac:dyDescent="0.25">
      <c r="A15" s="47">
        <v>39</v>
      </c>
      <c r="B15" s="7" t="s">
        <v>30</v>
      </c>
      <c r="C15" s="5" t="s">
        <v>38</v>
      </c>
      <c r="D15" s="16">
        <f>Données!C18</f>
        <v>0</v>
      </c>
      <c r="E15" s="16">
        <f>Données!D18</f>
        <v>150000</v>
      </c>
      <c r="F15" s="16">
        <f>Données!E18</f>
        <v>100000</v>
      </c>
      <c r="G15" s="16">
        <f>Données!F18</f>
        <v>82000</v>
      </c>
      <c r="H15" s="33">
        <f>Données!G18</f>
        <v>89950</v>
      </c>
    </row>
    <row r="16" spans="1:8" x14ac:dyDescent="0.25">
      <c r="A16" s="48"/>
      <c r="B16" s="25" t="s">
        <v>32</v>
      </c>
      <c r="C16" s="10" t="s">
        <v>161</v>
      </c>
      <c r="D16" s="11">
        <f>SUM(D8:D15)</f>
        <v>-33123.099999999627</v>
      </c>
      <c r="E16" s="11">
        <f t="shared" ref="E16:H16" si="1">SUM(E8:E15)</f>
        <v>1071016.82</v>
      </c>
      <c r="F16" s="11">
        <f t="shared" si="1"/>
        <v>-102922.10000000111</v>
      </c>
      <c r="G16" s="11">
        <f t="shared" si="1"/>
        <v>-250539.4600000002</v>
      </c>
      <c r="H16" s="35">
        <f t="shared" si="1"/>
        <v>-374530</v>
      </c>
    </row>
    <row r="17" spans="1:8" x14ac:dyDescent="0.25">
      <c r="A17" s="47">
        <v>330</v>
      </c>
      <c r="B17" s="7" t="s">
        <v>30</v>
      </c>
      <c r="C17" s="5" t="s">
        <v>16</v>
      </c>
      <c r="D17" s="16">
        <f>Données!C10</f>
        <v>0</v>
      </c>
      <c r="E17" s="16">
        <f>Données!D10</f>
        <v>0</v>
      </c>
      <c r="F17" s="16">
        <f>Données!E10</f>
        <v>0</v>
      </c>
      <c r="G17" s="16">
        <f>Données!F10</f>
        <v>0</v>
      </c>
      <c r="H17" s="33">
        <f>Données!G10</f>
        <v>0</v>
      </c>
    </row>
    <row r="18" spans="1:8" x14ac:dyDescent="0.25">
      <c r="A18" s="47">
        <v>331</v>
      </c>
      <c r="B18" s="7" t="s">
        <v>30</v>
      </c>
      <c r="C18" s="5" t="s">
        <v>42</v>
      </c>
      <c r="D18" s="16">
        <f>Données!C11</f>
        <v>499553.1</v>
      </c>
      <c r="E18" s="16">
        <f>Données!D11</f>
        <v>581562.4</v>
      </c>
      <c r="F18" s="16">
        <f>Données!E11</f>
        <v>620086</v>
      </c>
      <c r="G18" s="16">
        <f>Données!F11</f>
        <v>555895</v>
      </c>
      <c r="H18" s="33">
        <f>Données!G11</f>
        <v>542695</v>
      </c>
    </row>
    <row r="19" spans="1:8" x14ac:dyDescent="0.25">
      <c r="A19" s="47">
        <v>481</v>
      </c>
      <c r="B19" s="7" t="s">
        <v>31</v>
      </c>
      <c r="C19" s="5" t="s">
        <v>171</v>
      </c>
      <c r="D19" s="16">
        <f>-Données!C33</f>
        <v>0</v>
      </c>
      <c r="E19" s="16">
        <f>-Données!D33</f>
        <v>0</v>
      </c>
      <c r="F19" s="16">
        <f>-Données!E33</f>
        <v>0</v>
      </c>
      <c r="G19" s="16">
        <f>-Données!F33</f>
        <v>0</v>
      </c>
      <c r="H19" s="33">
        <f>-Données!G33</f>
        <v>0</v>
      </c>
    </row>
    <row r="20" spans="1:8" x14ac:dyDescent="0.25">
      <c r="A20" s="47">
        <v>381</v>
      </c>
      <c r="B20" s="7" t="s">
        <v>30</v>
      </c>
      <c r="C20" s="5" t="s">
        <v>172</v>
      </c>
      <c r="D20" s="16">
        <f>Données!C17</f>
        <v>0</v>
      </c>
      <c r="E20" s="16">
        <f>Données!D17</f>
        <v>0</v>
      </c>
      <c r="F20" s="16">
        <f>Données!E17</f>
        <v>0</v>
      </c>
      <c r="G20" s="16">
        <f>Données!F17</f>
        <v>0</v>
      </c>
      <c r="H20" s="33">
        <f>Données!G17</f>
        <v>0</v>
      </c>
    </row>
    <row r="21" spans="1:8" x14ac:dyDescent="0.25">
      <c r="A21" s="48"/>
      <c r="B21" s="25" t="s">
        <v>32</v>
      </c>
      <c r="C21" s="10" t="s">
        <v>168</v>
      </c>
      <c r="D21" s="11">
        <f>SUM(D16:D20)</f>
        <v>466430.00000000035</v>
      </c>
      <c r="E21" s="11">
        <f t="shared" ref="E21:H21" si="2">SUM(E16:E20)</f>
        <v>1652579.2200000002</v>
      </c>
      <c r="F21" s="11">
        <f t="shared" si="2"/>
        <v>517163.89999999886</v>
      </c>
      <c r="G21" s="11">
        <f t="shared" si="2"/>
        <v>305355.5399999998</v>
      </c>
      <c r="H21" s="35">
        <f t="shared" si="2"/>
        <v>168165</v>
      </c>
    </row>
    <row r="22" spans="1:8" x14ac:dyDescent="0.25">
      <c r="A22" s="47" t="s">
        <v>39</v>
      </c>
      <c r="B22" s="7" t="s">
        <v>30</v>
      </c>
      <c r="C22" s="5" t="s">
        <v>43</v>
      </c>
      <c r="D22" s="16">
        <f>Données!C51+Données!C52+Données!C53+Données!C54</f>
        <v>0</v>
      </c>
      <c r="E22" s="16">
        <f>Données!D51+Données!D52+Données!D53+Données!D54</f>
        <v>0</v>
      </c>
      <c r="F22" s="16">
        <f>Données!E51+Données!E52+Données!E53+Données!E54</f>
        <v>304236.55</v>
      </c>
      <c r="G22" s="16">
        <f>Données!F51+Données!F52+Données!F53+Données!F54</f>
        <v>87339.4</v>
      </c>
      <c r="H22" s="33" t="e">
        <f>Données!G51+Données!G52+Données!G53+Données!G54</f>
        <v>#VALUE!</v>
      </c>
    </row>
    <row r="23" spans="1:8" x14ac:dyDescent="0.25">
      <c r="A23" s="47" t="s">
        <v>40</v>
      </c>
      <c r="B23" s="7" t="s">
        <v>31</v>
      </c>
      <c r="C23" s="5" t="s">
        <v>44</v>
      </c>
      <c r="D23" s="16">
        <f>-Données!C44-Données!C45-Données!C46-Données!C47</f>
        <v>-900135.6</v>
      </c>
      <c r="E23" s="16">
        <f>-Données!D44-Données!D45-Données!D46-Données!D47</f>
        <v>-407203.15</v>
      </c>
      <c r="F23" s="16">
        <f>-Données!E44-Données!E45-Données!E46-Données!E47</f>
        <v>-270750.40000000002</v>
      </c>
      <c r="G23" s="16">
        <f>-Données!F44-Données!F45-Données!F46-Données!F47</f>
        <v>-159467.54999999999</v>
      </c>
      <c r="H23" s="33" t="e">
        <f>-Données!G44-Données!G45-Données!G46-Données!G47</f>
        <v>#VALUE!</v>
      </c>
    </row>
    <row r="24" spans="1:8" x14ac:dyDescent="0.25">
      <c r="A24" s="48"/>
      <c r="B24" s="25" t="s">
        <v>32</v>
      </c>
      <c r="C24" s="10" t="s">
        <v>123</v>
      </c>
      <c r="D24" s="11">
        <f>SUM(D21:D23)</f>
        <v>-433705.59999999963</v>
      </c>
      <c r="E24" s="11">
        <f t="shared" ref="E24:H24" si="3">SUM(E21:E23)</f>
        <v>1245376.0700000003</v>
      </c>
      <c r="F24" s="11">
        <f t="shared" si="3"/>
        <v>550650.04999999877</v>
      </c>
      <c r="G24" s="11">
        <f t="shared" si="3"/>
        <v>233227.38999999984</v>
      </c>
      <c r="H24" s="35" t="e">
        <f t="shared" si="3"/>
        <v>#VALUE!</v>
      </c>
    </row>
    <row r="25" spans="1:8" ht="4.5" customHeight="1" x14ac:dyDescent="0.25">
      <c r="A25" s="27"/>
      <c r="B25" s="28"/>
      <c r="C25" s="13"/>
      <c r="D25" s="29"/>
      <c r="E25" s="29"/>
      <c r="F25" s="29"/>
      <c r="G25" s="29"/>
      <c r="H25" s="30"/>
    </row>
    <row r="26" spans="1:8" x14ac:dyDescent="0.25">
      <c r="A26" s="48"/>
      <c r="B26" s="25" t="s">
        <v>30</v>
      </c>
      <c r="C26" s="10" t="s">
        <v>91</v>
      </c>
      <c r="D26" s="11">
        <f>D6+D9+D10+D11+D19</f>
        <v>6157833.9199999999</v>
      </c>
      <c r="E26" s="11">
        <f t="shared" ref="E26:H26" si="4">E6+E9+E10+E11+E19</f>
        <v>7374991.5000000009</v>
      </c>
      <c r="F26" s="11">
        <f t="shared" si="4"/>
        <v>6501113.0699999994</v>
      </c>
      <c r="G26" s="11">
        <f t="shared" si="4"/>
        <v>7317219.5299999993</v>
      </c>
      <c r="H26" s="35">
        <f t="shared" si="4"/>
        <v>6539724</v>
      </c>
    </row>
    <row r="27" spans="1:8" x14ac:dyDescent="0.25">
      <c r="A27" s="48"/>
      <c r="B27" s="25" t="s">
        <v>31</v>
      </c>
      <c r="C27" s="10" t="s">
        <v>90</v>
      </c>
      <c r="D27" s="11">
        <f>D7-D12-D13-D14-D15-D17-D18-D20</f>
        <v>5691403.9199999999</v>
      </c>
      <c r="E27" s="11">
        <f t="shared" ref="E27:H27" si="5">E7-E12-E13-E14-E15-E17-E18-E20</f>
        <v>5722412.2800000003</v>
      </c>
      <c r="F27" s="11">
        <f t="shared" si="5"/>
        <v>5983949.1699999999</v>
      </c>
      <c r="G27" s="11">
        <f t="shared" si="5"/>
        <v>7011863.9899999993</v>
      </c>
      <c r="H27" s="35">
        <f t="shared" si="5"/>
        <v>6371559</v>
      </c>
    </row>
    <row r="28" spans="1:8" ht="14.25" thickBot="1" x14ac:dyDescent="0.3">
      <c r="A28" s="49"/>
      <c r="B28" s="50" t="s">
        <v>32</v>
      </c>
      <c r="C28" s="51" t="s">
        <v>41</v>
      </c>
      <c r="D28" s="52">
        <f>D26-D27</f>
        <v>466430</v>
      </c>
      <c r="E28" s="52">
        <f t="shared" ref="E28:H28" si="6">E26-E27</f>
        <v>1652579.2200000007</v>
      </c>
      <c r="F28" s="52">
        <f t="shared" si="6"/>
        <v>517163.89999999944</v>
      </c>
      <c r="G28" s="52">
        <f t="shared" si="6"/>
        <v>305355.54000000004</v>
      </c>
      <c r="H28" s="53">
        <f t="shared" si="6"/>
        <v>168165</v>
      </c>
    </row>
    <row r="29" spans="1:8" ht="14.25" thickBot="1" x14ac:dyDescent="0.3">
      <c r="A29" s="4"/>
      <c r="B29" s="4"/>
      <c r="D29" s="3"/>
      <c r="E29" s="3"/>
      <c r="F29" s="3"/>
      <c r="G29" s="3"/>
      <c r="H29" s="3"/>
    </row>
    <row r="30" spans="1:8" x14ac:dyDescent="0.25">
      <c r="A30" s="57" t="s">
        <v>94</v>
      </c>
      <c r="B30" s="58"/>
      <c r="C30" s="59"/>
      <c r="D30" s="60"/>
      <c r="E30" s="60"/>
      <c r="F30" s="60"/>
      <c r="G30" s="60"/>
      <c r="H30" s="61"/>
    </row>
    <row r="31" spans="1:8" ht="4.5" customHeight="1" x14ac:dyDescent="0.25">
      <c r="A31" s="27"/>
      <c r="B31" s="28"/>
      <c r="C31" s="13"/>
      <c r="D31" s="29"/>
      <c r="E31" s="29"/>
      <c r="F31" s="29"/>
      <c r="G31" s="29"/>
      <c r="H31" s="30"/>
    </row>
    <row r="32" spans="1:8" x14ac:dyDescent="0.25">
      <c r="A32" s="31" t="s">
        <v>201</v>
      </c>
      <c r="B32" s="28"/>
      <c r="C32" s="13"/>
      <c r="D32" s="29"/>
      <c r="E32" s="29"/>
      <c r="F32" s="29"/>
      <c r="G32" s="29"/>
      <c r="H32" s="30"/>
    </row>
    <row r="33" spans="1:8" x14ac:dyDescent="0.25">
      <c r="A33" s="169" t="s">
        <v>70</v>
      </c>
      <c r="B33" s="168" t="s">
        <v>146</v>
      </c>
      <c r="C33" s="6" t="s">
        <v>29</v>
      </c>
      <c r="D33" s="18">
        <f>D5</f>
        <v>2016</v>
      </c>
      <c r="E33" s="18">
        <f t="shared" ref="E33:H33" si="7">E5</f>
        <v>2017</v>
      </c>
      <c r="F33" s="18">
        <f t="shared" si="7"/>
        <v>2018</v>
      </c>
      <c r="G33" s="18">
        <f t="shared" si="7"/>
        <v>2019</v>
      </c>
      <c r="H33" s="32">
        <f t="shared" si="7"/>
        <v>2020</v>
      </c>
    </row>
    <row r="34" spans="1:8" x14ac:dyDescent="0.25">
      <c r="A34" s="169"/>
      <c r="B34" s="168"/>
      <c r="C34" s="5" t="s">
        <v>106</v>
      </c>
      <c r="D34" s="16">
        <f>Données!C72</f>
        <v>15805267.5</v>
      </c>
      <c r="E34" s="16">
        <f>Données!D72</f>
        <v>15118637.91</v>
      </c>
      <c r="F34" s="16">
        <f>Données!E72</f>
        <v>14405548.129999999</v>
      </c>
      <c r="G34" s="16">
        <f>Données!F72</f>
        <v>14132261.5</v>
      </c>
      <c r="H34" s="33" t="e">
        <f>Données!G72</f>
        <v>#VALUE!</v>
      </c>
    </row>
    <row r="35" spans="1:8" x14ac:dyDescent="0.25">
      <c r="A35" s="169"/>
      <c r="B35" s="168"/>
      <c r="C35" s="5" t="s">
        <v>104</v>
      </c>
      <c r="D35" s="16">
        <f>Données!C35-Données!C27-Données!C32-Données!C34</f>
        <v>6157833.9199999999</v>
      </c>
      <c r="E35" s="16">
        <f>Données!D35-Données!D27-Données!D32-Données!D34</f>
        <v>7374991.5000000009</v>
      </c>
      <c r="F35" s="16">
        <f>Données!E35-Données!E27-Données!E32-Données!E34</f>
        <v>6501113.0699999994</v>
      </c>
      <c r="G35" s="16">
        <f>Données!F35-Données!F27-Données!F32-Données!F34</f>
        <v>7317219.5299999993</v>
      </c>
      <c r="H35" s="33">
        <f>Données!G35-Données!G27-Données!G32-Données!G34</f>
        <v>6539724</v>
      </c>
    </row>
    <row r="36" spans="1:8" x14ac:dyDescent="0.25">
      <c r="A36" s="169"/>
      <c r="B36" s="168"/>
      <c r="C36" s="19" t="s">
        <v>71</v>
      </c>
      <c r="D36" s="20">
        <f>IF(D34&lt;=0,0,D34/D35)</f>
        <v>2.5666927210664365</v>
      </c>
      <c r="E36" s="20">
        <f t="shared" ref="E36:H36" si="8">IF(E34&lt;=0,0,E34/E35)</f>
        <v>2.0499871640530025</v>
      </c>
      <c r="F36" s="20">
        <f t="shared" si="8"/>
        <v>2.2158587267887651</v>
      </c>
      <c r="G36" s="20">
        <f t="shared" si="8"/>
        <v>1.9313704395582076</v>
      </c>
      <c r="H36" s="34" t="e">
        <f t="shared" si="8"/>
        <v>#VALUE!</v>
      </c>
    </row>
    <row r="37" spans="1:8" x14ac:dyDescent="0.25">
      <c r="A37" s="27"/>
      <c r="B37" s="28"/>
      <c r="C37" s="13"/>
      <c r="D37" s="29"/>
      <c r="E37" s="29"/>
      <c r="F37" s="29"/>
      <c r="G37" s="29"/>
      <c r="H37" s="30"/>
    </row>
    <row r="38" spans="1:8" x14ac:dyDescent="0.25">
      <c r="A38" s="31" t="s">
        <v>73</v>
      </c>
      <c r="B38" s="28"/>
      <c r="C38" s="13"/>
      <c r="D38" s="29"/>
      <c r="E38" s="29"/>
      <c r="F38" s="29"/>
      <c r="G38" s="29"/>
      <c r="H38" s="30"/>
    </row>
    <row r="39" spans="1:8" x14ac:dyDescent="0.25">
      <c r="A39" s="169" t="s">
        <v>74</v>
      </c>
      <c r="B39" s="168" t="s">
        <v>147</v>
      </c>
      <c r="C39" s="6" t="s">
        <v>29</v>
      </c>
      <c r="D39" s="18">
        <f>D33</f>
        <v>2016</v>
      </c>
      <c r="E39" s="18">
        <f t="shared" ref="E39:H39" si="9">E33</f>
        <v>2017</v>
      </c>
      <c r="F39" s="18">
        <f t="shared" si="9"/>
        <v>2018</v>
      </c>
      <c r="G39" s="18">
        <f t="shared" si="9"/>
        <v>2019</v>
      </c>
      <c r="H39" s="32">
        <f t="shared" si="9"/>
        <v>2020</v>
      </c>
    </row>
    <row r="40" spans="1:8" x14ac:dyDescent="0.25">
      <c r="A40" s="169"/>
      <c r="B40" s="168"/>
      <c r="C40" s="5" t="s">
        <v>106</v>
      </c>
      <c r="D40" s="16">
        <f>D34</f>
        <v>15805267.5</v>
      </c>
      <c r="E40" s="16">
        <f t="shared" ref="E40:H40" si="10">E34</f>
        <v>15118637.91</v>
      </c>
      <c r="F40" s="16">
        <f t="shared" si="10"/>
        <v>14405548.129999999</v>
      </c>
      <c r="G40" s="16">
        <f t="shared" si="10"/>
        <v>14132261.5</v>
      </c>
      <c r="H40" s="33" t="e">
        <f t="shared" si="10"/>
        <v>#VALUE!</v>
      </c>
    </row>
    <row r="41" spans="1:8" x14ac:dyDescent="0.25">
      <c r="A41" s="169"/>
      <c r="B41" s="168"/>
      <c r="C41" s="5" t="s">
        <v>97</v>
      </c>
      <c r="D41" s="16">
        <f>D21</f>
        <v>466430.00000000035</v>
      </c>
      <c r="E41" s="16">
        <f t="shared" ref="E41:H41" si="11">E21</f>
        <v>1652579.2200000002</v>
      </c>
      <c r="F41" s="16">
        <f t="shared" si="11"/>
        <v>517163.89999999886</v>
      </c>
      <c r="G41" s="16">
        <f t="shared" si="11"/>
        <v>305355.5399999998</v>
      </c>
      <c r="H41" s="33">
        <f t="shared" si="11"/>
        <v>168165</v>
      </c>
    </row>
    <row r="42" spans="1:8" x14ac:dyDescent="0.25">
      <c r="A42" s="169"/>
      <c r="B42" s="168"/>
      <c r="C42" s="19" t="s">
        <v>71</v>
      </c>
      <c r="D42" s="11">
        <f>IF(D40&lt;=0,0,IF(D41&lt;=0,"Impossible",D40/D41))</f>
        <v>33.885615204853863</v>
      </c>
      <c r="E42" s="11">
        <f t="shared" ref="E42:H42" si="12">IF(E40&lt;=0,0,IF(E41&lt;=0,"Impossible",E40/E41))</f>
        <v>9.1485102360176107</v>
      </c>
      <c r="F42" s="11">
        <f t="shared" si="12"/>
        <v>27.854898862817052</v>
      </c>
      <c r="G42" s="11">
        <f t="shared" si="12"/>
        <v>46.281333228799483</v>
      </c>
      <c r="H42" s="35" t="e">
        <f t="shared" si="12"/>
        <v>#VALUE!</v>
      </c>
    </row>
    <row r="43" spans="1:8" x14ac:dyDescent="0.25">
      <c r="A43" s="27"/>
      <c r="B43" s="28"/>
      <c r="C43" s="13"/>
      <c r="D43" s="29"/>
      <c r="E43" s="29"/>
      <c r="F43" s="29"/>
      <c r="G43" s="29"/>
      <c r="H43" s="30"/>
    </row>
    <row r="44" spans="1:8" x14ac:dyDescent="0.25">
      <c r="A44" s="31" t="s">
        <v>77</v>
      </c>
      <c r="B44" s="28"/>
      <c r="C44" s="13"/>
      <c r="D44" s="29"/>
      <c r="E44" s="29"/>
      <c r="F44" s="29"/>
      <c r="G44" s="29"/>
      <c r="H44" s="30"/>
    </row>
    <row r="45" spans="1:8" x14ac:dyDescent="0.25">
      <c r="A45" s="169" t="s">
        <v>79</v>
      </c>
      <c r="B45" s="168" t="s">
        <v>105</v>
      </c>
      <c r="C45" s="6" t="s">
        <v>29</v>
      </c>
      <c r="D45" s="18">
        <f>D39</f>
        <v>2016</v>
      </c>
      <c r="E45" s="18">
        <f t="shared" ref="E45:H45" si="13">E39</f>
        <v>2017</v>
      </c>
      <c r="F45" s="18">
        <f t="shared" si="13"/>
        <v>2018</v>
      </c>
      <c r="G45" s="18">
        <f t="shared" si="13"/>
        <v>2019</v>
      </c>
      <c r="H45" s="32">
        <f t="shared" si="13"/>
        <v>2020</v>
      </c>
    </row>
    <row r="46" spans="1:8" x14ac:dyDescent="0.25">
      <c r="A46" s="169"/>
      <c r="B46" s="168"/>
      <c r="C46" s="5" t="s">
        <v>103</v>
      </c>
      <c r="D46" s="16">
        <f>Données!C7+Données!C8</f>
        <v>291574.45999999996</v>
      </c>
      <c r="E46" s="16">
        <f>Données!D7+Données!D8</f>
        <v>292579.32000000007</v>
      </c>
      <c r="F46" s="16">
        <f>Données!E7+Données!E8</f>
        <v>288643.48</v>
      </c>
      <c r="G46" s="16">
        <f>Données!F7+Données!F8</f>
        <v>280022.90000000002</v>
      </c>
      <c r="H46" s="33">
        <f>Données!G7+Données!G8</f>
        <v>278660</v>
      </c>
    </row>
    <row r="47" spans="1:8" x14ac:dyDescent="0.25">
      <c r="A47" s="169"/>
      <c r="B47" s="168"/>
      <c r="C47" s="5" t="s">
        <v>104</v>
      </c>
      <c r="D47" s="16">
        <f>D35</f>
        <v>6157833.9199999999</v>
      </c>
      <c r="E47" s="16">
        <f t="shared" ref="E47:H47" si="14">E35</f>
        <v>7374991.5000000009</v>
      </c>
      <c r="F47" s="16">
        <f t="shared" si="14"/>
        <v>6501113.0699999994</v>
      </c>
      <c r="G47" s="16">
        <f t="shared" si="14"/>
        <v>7317219.5299999993</v>
      </c>
      <c r="H47" s="33">
        <f t="shared" si="14"/>
        <v>6539724</v>
      </c>
    </row>
    <row r="48" spans="1:8" x14ac:dyDescent="0.25">
      <c r="A48" s="169"/>
      <c r="B48" s="168"/>
      <c r="C48" s="19" t="s">
        <v>78</v>
      </c>
      <c r="D48" s="21">
        <f>IF(D46&lt;=0,0,D46/D47)</f>
        <v>4.7350166274052412E-2</v>
      </c>
      <c r="E48" s="21">
        <f t="shared" ref="E48:H48" si="15">IF(E46&lt;=0,0,E46/E47)</f>
        <v>3.9671817926841005E-2</v>
      </c>
      <c r="F48" s="21">
        <f t="shared" si="15"/>
        <v>4.4399086262931278E-2</v>
      </c>
      <c r="G48" s="21">
        <f t="shared" si="15"/>
        <v>3.8269030859594842E-2</v>
      </c>
      <c r="H48" s="36">
        <f t="shared" si="15"/>
        <v>4.2610360926546749E-2</v>
      </c>
    </row>
    <row r="49" spans="1:8" x14ac:dyDescent="0.25">
      <c r="A49" s="37"/>
      <c r="B49" s="13"/>
      <c r="C49" s="13"/>
      <c r="D49" s="29"/>
      <c r="E49" s="29"/>
      <c r="F49" s="29"/>
      <c r="G49" s="29"/>
      <c r="H49" s="30"/>
    </row>
    <row r="50" spans="1:8" x14ac:dyDescent="0.25">
      <c r="A50" s="38" t="s">
        <v>92</v>
      </c>
      <c r="B50" s="13"/>
      <c r="C50" s="13"/>
      <c r="D50" s="29"/>
      <c r="E50" s="29"/>
      <c r="F50" s="29"/>
      <c r="G50" s="29"/>
      <c r="H50" s="30"/>
    </row>
    <row r="51" spans="1:8" x14ac:dyDescent="0.25">
      <c r="A51" s="167" t="s">
        <v>80</v>
      </c>
      <c r="B51" s="168" t="s">
        <v>101</v>
      </c>
      <c r="C51" s="6" t="s">
        <v>29</v>
      </c>
      <c r="D51" s="18">
        <f>D45</f>
        <v>2016</v>
      </c>
      <c r="E51" s="18">
        <f t="shared" ref="E51:H51" si="16">E45</f>
        <v>2017</v>
      </c>
      <c r="F51" s="18">
        <f t="shared" si="16"/>
        <v>2018</v>
      </c>
      <c r="G51" s="18">
        <f t="shared" si="16"/>
        <v>2019</v>
      </c>
      <c r="H51" s="32">
        <f t="shared" si="16"/>
        <v>2020</v>
      </c>
    </row>
    <row r="52" spans="1:8" x14ac:dyDescent="0.25">
      <c r="A52" s="167"/>
      <c r="B52" s="168"/>
      <c r="C52" s="5" t="s">
        <v>97</v>
      </c>
      <c r="D52" s="16">
        <f>D41</f>
        <v>466430.00000000035</v>
      </c>
      <c r="E52" s="16">
        <f t="shared" ref="E52:H52" si="17">E41</f>
        <v>1652579.2200000002</v>
      </c>
      <c r="F52" s="16">
        <f t="shared" si="17"/>
        <v>517163.89999999886</v>
      </c>
      <c r="G52" s="16">
        <f t="shared" si="17"/>
        <v>305355.5399999998</v>
      </c>
      <c r="H52" s="33">
        <f t="shared" si="17"/>
        <v>168165</v>
      </c>
    </row>
    <row r="53" spans="1:8" x14ac:dyDescent="0.25">
      <c r="A53" s="167"/>
      <c r="B53" s="168"/>
      <c r="C53" s="5" t="s">
        <v>102</v>
      </c>
      <c r="D53" s="16">
        <v>30</v>
      </c>
      <c r="E53" s="16">
        <v>30</v>
      </c>
      <c r="F53" s="16">
        <v>30</v>
      </c>
      <c r="G53" s="16">
        <v>30</v>
      </c>
      <c r="H53" s="33">
        <v>30</v>
      </c>
    </row>
    <row r="54" spans="1:8" x14ac:dyDescent="0.25">
      <c r="A54" s="167"/>
      <c r="B54" s="168"/>
      <c r="C54" s="19" t="s">
        <v>81</v>
      </c>
      <c r="D54" s="22">
        <f>IF(D52&lt;=0,0,D52*D53)</f>
        <v>13992900.000000011</v>
      </c>
      <c r="E54" s="22">
        <f t="shared" ref="E54:H54" si="18">IF(E52&lt;=0,0,E52*E53)</f>
        <v>49577376.600000009</v>
      </c>
      <c r="F54" s="22">
        <f t="shared" si="18"/>
        <v>15514916.999999966</v>
      </c>
      <c r="G54" s="22">
        <f t="shared" si="18"/>
        <v>9160666.1999999937</v>
      </c>
      <c r="H54" s="39">
        <f t="shared" si="18"/>
        <v>5044950</v>
      </c>
    </row>
    <row r="55" spans="1:8" x14ac:dyDescent="0.25">
      <c r="A55" s="37"/>
      <c r="B55" s="13"/>
      <c r="C55" s="13"/>
      <c r="D55" s="29"/>
      <c r="E55" s="29"/>
      <c r="F55" s="29"/>
      <c r="G55" s="29"/>
      <c r="H55" s="30"/>
    </row>
    <row r="56" spans="1:8" x14ac:dyDescent="0.25">
      <c r="A56" s="38" t="s">
        <v>130</v>
      </c>
      <c r="B56" s="13"/>
      <c r="C56" s="13"/>
      <c r="D56" s="29"/>
      <c r="E56" s="29"/>
      <c r="F56" s="29"/>
      <c r="G56" s="29"/>
      <c r="H56" s="30"/>
    </row>
    <row r="57" spans="1:8" x14ac:dyDescent="0.25">
      <c r="A57" s="167" t="s">
        <v>133</v>
      </c>
      <c r="B57" s="168" t="s">
        <v>132</v>
      </c>
      <c r="C57" s="6" t="s">
        <v>29</v>
      </c>
      <c r="D57" s="18">
        <f>D51</f>
        <v>2016</v>
      </c>
      <c r="E57" s="18">
        <f t="shared" ref="E57:H57" si="19">E51</f>
        <v>2017</v>
      </c>
      <c r="F57" s="18">
        <f t="shared" si="19"/>
        <v>2018</v>
      </c>
      <c r="G57" s="18">
        <f t="shared" si="19"/>
        <v>2019</v>
      </c>
      <c r="H57" s="32">
        <f t="shared" si="19"/>
        <v>2020</v>
      </c>
    </row>
    <row r="58" spans="1:8" x14ac:dyDescent="0.25">
      <c r="A58" s="167"/>
      <c r="B58" s="168"/>
      <c r="C58" s="5" t="s">
        <v>131</v>
      </c>
      <c r="D58" s="16">
        <f>D54</f>
        <v>13992900.000000011</v>
      </c>
      <c r="E58" s="16">
        <f t="shared" ref="E58:H58" si="20">E54</f>
        <v>49577376.600000009</v>
      </c>
      <c r="F58" s="16">
        <f t="shared" si="20"/>
        <v>15514916.999999966</v>
      </c>
      <c r="G58" s="16">
        <f t="shared" si="20"/>
        <v>9160666.1999999937</v>
      </c>
      <c r="H58" s="33">
        <f t="shared" si="20"/>
        <v>5044950</v>
      </c>
    </row>
    <row r="59" spans="1:8" x14ac:dyDescent="0.25">
      <c r="A59" s="167"/>
      <c r="B59" s="168"/>
      <c r="C59" s="5" t="s">
        <v>106</v>
      </c>
      <c r="D59" s="16">
        <f>D40</f>
        <v>15805267.5</v>
      </c>
      <c r="E59" s="16">
        <f t="shared" ref="E59:H59" si="21">E40</f>
        <v>15118637.91</v>
      </c>
      <c r="F59" s="16">
        <f t="shared" si="21"/>
        <v>14405548.129999999</v>
      </c>
      <c r="G59" s="16">
        <f t="shared" si="21"/>
        <v>14132261.5</v>
      </c>
      <c r="H59" s="33" t="e">
        <f t="shared" si="21"/>
        <v>#VALUE!</v>
      </c>
    </row>
    <row r="60" spans="1:8" x14ac:dyDescent="0.25">
      <c r="A60" s="167"/>
      <c r="B60" s="168"/>
      <c r="C60" s="19" t="s">
        <v>81</v>
      </c>
      <c r="D60" s="22">
        <f>D58-D59</f>
        <v>-1812367.4999999888</v>
      </c>
      <c r="E60" s="22">
        <f t="shared" ref="E60:H60" si="22">E58-E59</f>
        <v>34458738.690000013</v>
      </c>
      <c r="F60" s="22">
        <f t="shared" si="22"/>
        <v>1109368.8699999675</v>
      </c>
      <c r="G60" s="22">
        <f t="shared" si="22"/>
        <v>-4971595.3000000063</v>
      </c>
      <c r="H60" s="39" t="e">
        <f t="shared" si="22"/>
        <v>#VALUE!</v>
      </c>
    </row>
    <row r="61" spans="1:8" x14ac:dyDescent="0.25">
      <c r="A61" s="37"/>
      <c r="B61" s="13"/>
      <c r="C61" s="13"/>
      <c r="D61" s="29"/>
      <c r="E61" s="29"/>
      <c r="F61" s="29"/>
      <c r="G61" s="29"/>
      <c r="H61" s="30"/>
    </row>
    <row r="62" spans="1:8" x14ac:dyDescent="0.25">
      <c r="A62" s="38" t="s">
        <v>134</v>
      </c>
      <c r="B62" s="13"/>
      <c r="C62" s="13"/>
      <c r="D62" s="29"/>
      <c r="E62" s="29"/>
      <c r="F62" s="29"/>
      <c r="G62" s="29"/>
      <c r="H62" s="30"/>
    </row>
    <row r="63" spans="1:8" ht="13.5" customHeight="1" x14ac:dyDescent="0.25">
      <c r="A63" s="167" t="s">
        <v>133</v>
      </c>
      <c r="B63" s="168" t="s">
        <v>148</v>
      </c>
      <c r="C63" s="6" t="s">
        <v>29</v>
      </c>
      <c r="D63" s="18">
        <f>D57</f>
        <v>2016</v>
      </c>
      <c r="E63" s="18">
        <f t="shared" ref="E63:H63" si="23">E57</f>
        <v>2017</v>
      </c>
      <c r="F63" s="18">
        <f t="shared" si="23"/>
        <v>2018</v>
      </c>
      <c r="G63" s="18">
        <f t="shared" si="23"/>
        <v>2019</v>
      </c>
      <c r="H63" s="32">
        <f t="shared" si="23"/>
        <v>2020</v>
      </c>
    </row>
    <row r="64" spans="1:8" ht="13.5" customHeight="1" x14ac:dyDescent="0.25">
      <c r="A64" s="167"/>
      <c r="B64" s="168"/>
      <c r="C64" s="5" t="s">
        <v>106</v>
      </c>
      <c r="D64" s="16">
        <f>D59</f>
        <v>15805267.5</v>
      </c>
      <c r="E64" s="16">
        <f t="shared" ref="E64:H64" si="24">E59</f>
        <v>15118637.91</v>
      </c>
      <c r="F64" s="16">
        <f t="shared" si="24"/>
        <v>14405548.129999999</v>
      </c>
      <c r="G64" s="16">
        <f t="shared" si="24"/>
        <v>14132261.5</v>
      </c>
      <c r="H64" s="33" t="e">
        <f t="shared" si="24"/>
        <v>#VALUE!</v>
      </c>
    </row>
    <row r="65" spans="1:8" x14ac:dyDescent="0.25">
      <c r="A65" s="167"/>
      <c r="B65" s="168"/>
      <c r="C65" s="5" t="s">
        <v>102</v>
      </c>
      <c r="D65" s="16">
        <v>30</v>
      </c>
      <c r="E65" s="16">
        <v>30</v>
      </c>
      <c r="F65" s="16">
        <v>30</v>
      </c>
      <c r="G65" s="16">
        <v>30</v>
      </c>
      <c r="H65" s="33">
        <v>30</v>
      </c>
    </row>
    <row r="66" spans="1:8" x14ac:dyDescent="0.25">
      <c r="A66" s="167"/>
      <c r="B66" s="168"/>
      <c r="C66" s="19" t="s">
        <v>81</v>
      </c>
      <c r="D66" s="22">
        <f>IF(D64&lt;=0,0,D64/D65)</f>
        <v>526842.25</v>
      </c>
      <c r="E66" s="22">
        <f t="shared" ref="E66:H66" si="25">IF(E64&lt;=0,0,E64/E65)</f>
        <v>503954.59700000001</v>
      </c>
      <c r="F66" s="22">
        <f t="shared" si="25"/>
        <v>480184.93766666664</v>
      </c>
      <c r="G66" s="22">
        <f t="shared" si="25"/>
        <v>471075.38333333336</v>
      </c>
      <c r="H66" s="39" t="e">
        <f t="shared" si="25"/>
        <v>#VALUE!</v>
      </c>
    </row>
    <row r="67" spans="1:8" x14ac:dyDescent="0.25">
      <c r="A67" s="37"/>
      <c r="B67" s="13"/>
      <c r="C67" s="13"/>
      <c r="D67" s="29"/>
      <c r="E67" s="29"/>
      <c r="F67" s="29"/>
      <c r="G67" s="29"/>
      <c r="H67" s="30"/>
    </row>
    <row r="68" spans="1:8" x14ac:dyDescent="0.25">
      <c r="A68" s="38" t="s">
        <v>89</v>
      </c>
      <c r="B68" s="13"/>
      <c r="C68" s="13"/>
      <c r="D68" s="29"/>
      <c r="E68" s="29"/>
      <c r="F68" s="29"/>
      <c r="G68" s="29"/>
      <c r="H68" s="30"/>
    </row>
    <row r="69" spans="1:8" x14ac:dyDescent="0.25">
      <c r="A69" s="167" t="s">
        <v>31</v>
      </c>
      <c r="B69" s="168" t="s">
        <v>200</v>
      </c>
      <c r="C69" s="6" t="s">
        <v>29</v>
      </c>
      <c r="D69" s="18">
        <f>D51</f>
        <v>2016</v>
      </c>
      <c r="E69" s="18">
        <f>E51</f>
        <v>2017</v>
      </c>
      <c r="F69" s="18">
        <f>F51</f>
        <v>2018</v>
      </c>
      <c r="G69" s="18">
        <f>G51</f>
        <v>2019</v>
      </c>
      <c r="H69" s="32">
        <f>H51</f>
        <v>2020</v>
      </c>
    </row>
    <row r="70" spans="1:8" x14ac:dyDescent="0.25">
      <c r="A70" s="167"/>
      <c r="B70" s="168"/>
      <c r="C70" s="5" t="s">
        <v>100</v>
      </c>
      <c r="D70" s="16">
        <f>Données!C10+Données!C11-Données!C104-Données!C105-Données!C106</f>
        <v>499553.1</v>
      </c>
      <c r="E70" s="16">
        <f>Données!D10+Données!D11-Données!D104-Données!D105-Données!D106</f>
        <v>581562.4</v>
      </c>
      <c r="F70" s="16">
        <f>Données!E10+Données!E11-Données!E104-Données!E105-Données!E106</f>
        <v>620086</v>
      </c>
      <c r="G70" s="16">
        <f>Données!F10+Données!F11-Données!F104-Données!F105-Données!F106</f>
        <v>555895</v>
      </c>
      <c r="H70" s="33">
        <f>Données!G10+Données!G11-Données!G104-Données!G105-Données!G106</f>
        <v>542695</v>
      </c>
    </row>
    <row r="71" spans="1:8" x14ac:dyDescent="0.25">
      <c r="A71" s="167"/>
      <c r="B71" s="168"/>
      <c r="C71" s="5" t="s">
        <v>99</v>
      </c>
      <c r="D71" s="16">
        <f>Données!C90</f>
        <v>15805267.5</v>
      </c>
      <c r="E71" s="16">
        <f>Données!D90</f>
        <v>15737027.699999999</v>
      </c>
      <c r="F71" s="16">
        <f>Données!E90</f>
        <v>15505168.6</v>
      </c>
      <c r="G71" s="16">
        <f>Données!F90</f>
        <v>14702414.199999999</v>
      </c>
      <c r="H71" s="33">
        <f>Données!G90</f>
        <v>0</v>
      </c>
    </row>
    <row r="72" spans="1:8" x14ac:dyDescent="0.25">
      <c r="A72" s="167"/>
      <c r="B72" s="168"/>
      <c r="C72" s="19" t="s">
        <v>119</v>
      </c>
      <c r="D72" s="23" t="str">
        <f>IF((D71/30)&gt;D70,"Insuffisant","OK")</f>
        <v>Insuffisant</v>
      </c>
      <c r="E72" s="23" t="str">
        <f t="shared" ref="E72:H72" si="26">IF((E71/30)&gt;E70,"Insuffisant","OK")</f>
        <v>OK</v>
      </c>
      <c r="F72" s="23" t="str">
        <f t="shared" si="26"/>
        <v>OK</v>
      </c>
      <c r="G72" s="23" t="str">
        <f t="shared" si="26"/>
        <v>OK</v>
      </c>
      <c r="H72" s="40" t="str">
        <f t="shared" si="26"/>
        <v>OK</v>
      </c>
    </row>
    <row r="73" spans="1:8" ht="14.25" thickBot="1" x14ac:dyDescent="0.3">
      <c r="A73" s="41"/>
      <c r="B73" s="42"/>
      <c r="C73" s="42"/>
      <c r="D73" s="42"/>
      <c r="E73" s="42"/>
      <c r="F73" s="42"/>
      <c r="G73" s="42"/>
      <c r="H73" s="43"/>
    </row>
    <row r="74" spans="1:8" ht="4.5" customHeight="1" thickBot="1" x14ac:dyDescent="0.3"/>
    <row r="75" spans="1:8" x14ac:dyDescent="0.25">
      <c r="A75" s="62" t="s">
        <v>120</v>
      </c>
      <c r="B75" s="59"/>
      <c r="C75" s="59"/>
      <c r="D75" s="59"/>
      <c r="E75" s="59"/>
      <c r="F75" s="59"/>
      <c r="G75" s="59"/>
      <c r="H75" s="63"/>
    </row>
    <row r="76" spans="1:8" ht="4.5" customHeight="1" x14ac:dyDescent="0.25">
      <c r="A76" s="37"/>
      <c r="B76" s="13"/>
      <c r="C76" s="13"/>
      <c r="D76" s="13"/>
      <c r="E76" s="13"/>
      <c r="F76" s="13"/>
      <c r="G76" s="13"/>
      <c r="H76" s="54"/>
    </row>
    <row r="77" spans="1:8" x14ac:dyDescent="0.25">
      <c r="A77" s="38" t="s">
        <v>93</v>
      </c>
      <c r="B77" s="13"/>
      <c r="C77" s="55"/>
      <c r="D77" s="13"/>
      <c r="E77" s="13"/>
      <c r="F77" s="13"/>
      <c r="G77" s="13"/>
      <c r="H77" s="54"/>
    </row>
    <row r="78" spans="1:8" x14ac:dyDescent="0.25">
      <c r="A78" s="167" t="s">
        <v>157</v>
      </c>
      <c r="B78" s="168" t="s">
        <v>150</v>
      </c>
      <c r="C78" s="6" t="s">
        <v>29</v>
      </c>
      <c r="D78" s="18">
        <f>D69</f>
        <v>2016</v>
      </c>
      <c r="E78" s="18">
        <f t="shared" ref="E78:H78" si="27">E69</f>
        <v>2017</v>
      </c>
      <c r="F78" s="18">
        <f t="shared" si="27"/>
        <v>2018</v>
      </c>
      <c r="G78" s="18">
        <f t="shared" si="27"/>
        <v>2019</v>
      </c>
      <c r="H78" s="32">
        <f t="shared" si="27"/>
        <v>2020</v>
      </c>
    </row>
    <row r="79" spans="1:8" x14ac:dyDescent="0.25">
      <c r="A79" s="167"/>
      <c r="B79" s="168"/>
      <c r="C79" s="5" t="s">
        <v>149</v>
      </c>
      <c r="D79" s="16">
        <f>Données!C83</f>
        <v>527340.93999999983</v>
      </c>
      <c r="E79" s="16">
        <f>Données!D83</f>
        <v>1764477.2100000004</v>
      </c>
      <c r="F79" s="16">
        <f>Données!E83</f>
        <v>2149744.7599999998</v>
      </c>
      <c r="G79" s="16">
        <f>Données!F83</f>
        <v>1781549.0499999998</v>
      </c>
      <c r="H79" s="33" t="e">
        <f>Données!G83</f>
        <v>#VALUE!</v>
      </c>
    </row>
    <row r="80" spans="1:8" x14ac:dyDescent="0.25">
      <c r="A80" s="167"/>
      <c r="B80" s="168"/>
      <c r="C80" s="5" t="s">
        <v>151</v>
      </c>
      <c r="D80" s="16">
        <f>Données!C98</f>
        <v>151808.70000000001</v>
      </c>
      <c r="E80" s="16">
        <f>Données!D98</f>
        <v>1219101.52</v>
      </c>
      <c r="F80" s="16">
        <f>Données!E98</f>
        <v>1181744.1200000001</v>
      </c>
      <c r="G80" s="16">
        <f>Données!F98</f>
        <v>1078495.6099999999</v>
      </c>
      <c r="H80" s="33">
        <f>Données!G98</f>
        <v>0</v>
      </c>
    </row>
    <row r="81" spans="1:8" x14ac:dyDescent="0.25">
      <c r="A81" s="167"/>
      <c r="B81" s="168"/>
      <c r="C81" s="19" t="s">
        <v>78</v>
      </c>
      <c r="D81" s="21">
        <f>IF(D79&lt;=0,0,D79/D80)</f>
        <v>3.4737201491087122</v>
      </c>
      <c r="E81" s="21">
        <f t="shared" ref="E81:H81" si="28">IF(E79&lt;=0,0,E79/E80)</f>
        <v>1.4473587154579222</v>
      </c>
      <c r="F81" s="21">
        <f t="shared" si="28"/>
        <v>1.819128797526828</v>
      </c>
      <c r="G81" s="21">
        <f t="shared" si="28"/>
        <v>1.6518834508746865</v>
      </c>
      <c r="H81" s="36" t="e">
        <f t="shared" si="28"/>
        <v>#VALUE!</v>
      </c>
    </row>
    <row r="82" spans="1:8" ht="14.25" thickBot="1" x14ac:dyDescent="0.3">
      <c r="A82" s="41"/>
      <c r="B82" s="42"/>
      <c r="C82" s="42"/>
      <c r="D82" s="42"/>
      <c r="E82" s="42"/>
      <c r="F82" s="42"/>
      <c r="G82" s="42"/>
      <c r="H82" s="43"/>
    </row>
    <row r="83" spans="1:8" ht="4.5" customHeight="1" thickBot="1" x14ac:dyDescent="0.3"/>
    <row r="84" spans="1:8" x14ac:dyDescent="0.25">
      <c r="A84" s="62" t="s">
        <v>46</v>
      </c>
      <c r="B84" s="59"/>
      <c r="C84" s="59"/>
      <c r="D84" s="59"/>
      <c r="E84" s="59"/>
      <c r="F84" s="59"/>
      <c r="G84" s="59"/>
      <c r="H84" s="63"/>
    </row>
    <row r="85" spans="1:8" ht="4.5" customHeight="1" x14ac:dyDescent="0.25">
      <c r="A85" s="37"/>
      <c r="B85" s="13"/>
      <c r="C85" s="13"/>
      <c r="D85" s="13"/>
      <c r="E85" s="13"/>
      <c r="F85" s="13"/>
      <c r="G85" s="13"/>
      <c r="H85" s="54"/>
    </row>
    <row r="86" spans="1:8" x14ac:dyDescent="0.25">
      <c r="A86" s="38" t="s">
        <v>95</v>
      </c>
      <c r="B86" s="13"/>
      <c r="C86" s="13"/>
      <c r="D86" s="13"/>
      <c r="E86" s="13"/>
      <c r="F86" s="13"/>
      <c r="G86" s="13"/>
      <c r="H86" s="54"/>
    </row>
    <row r="87" spans="1:8" x14ac:dyDescent="0.25">
      <c r="A87" s="167" t="s">
        <v>158</v>
      </c>
      <c r="B87" s="168" t="s">
        <v>96</v>
      </c>
      <c r="C87" s="6" t="s">
        <v>29</v>
      </c>
      <c r="D87" s="18">
        <f>D78</f>
        <v>2016</v>
      </c>
      <c r="E87" s="18">
        <f t="shared" ref="E87:H87" si="29">E78</f>
        <v>2017</v>
      </c>
      <c r="F87" s="18">
        <f t="shared" si="29"/>
        <v>2018</v>
      </c>
      <c r="G87" s="18">
        <f t="shared" si="29"/>
        <v>2019</v>
      </c>
      <c r="H87" s="32">
        <f t="shared" si="29"/>
        <v>2020</v>
      </c>
    </row>
    <row r="88" spans="1:8" x14ac:dyDescent="0.25">
      <c r="A88" s="167"/>
      <c r="B88" s="168"/>
      <c r="C88" s="5" t="s">
        <v>97</v>
      </c>
      <c r="D88" s="16">
        <f>D28</f>
        <v>466430</v>
      </c>
      <c r="E88" s="16">
        <f>E28</f>
        <v>1652579.2200000007</v>
      </c>
      <c r="F88" s="16">
        <f>F28</f>
        <v>517163.89999999944</v>
      </c>
      <c r="G88" s="16">
        <f>G28</f>
        <v>305355.54000000004</v>
      </c>
      <c r="H88" s="33">
        <f>H28</f>
        <v>168165</v>
      </c>
    </row>
    <row r="89" spans="1:8" x14ac:dyDescent="0.25">
      <c r="A89" s="167"/>
      <c r="B89" s="168"/>
      <c r="C89" s="5" t="s">
        <v>98</v>
      </c>
      <c r="D89" s="16">
        <f>-D23-D22</f>
        <v>900135.6</v>
      </c>
      <c r="E89" s="16">
        <f>-E23-E22</f>
        <v>407203.15</v>
      </c>
      <c r="F89" s="16">
        <f>-F23-F22</f>
        <v>-33486.149999999965</v>
      </c>
      <c r="G89" s="16">
        <f>-G23-G22</f>
        <v>72128.149999999994</v>
      </c>
      <c r="H89" s="33" t="e">
        <f>-H23-H22</f>
        <v>#VALUE!</v>
      </c>
    </row>
    <row r="90" spans="1:8" x14ac:dyDescent="0.25">
      <c r="A90" s="167"/>
      <c r="B90" s="168"/>
      <c r="C90" s="19" t="s">
        <v>78</v>
      </c>
      <c r="D90" s="21">
        <f>IF(D88&lt;=0,0,D88/D89)</f>
        <v>0.51817748348137771</v>
      </c>
      <c r="E90" s="21">
        <f t="shared" ref="E90:H90" si="30">IF(E88&lt;=0,0,E88/E89)</f>
        <v>4.058365511170531</v>
      </c>
      <c r="F90" s="21">
        <f t="shared" si="30"/>
        <v>-15.44411346183422</v>
      </c>
      <c r="G90" s="21">
        <f t="shared" si="30"/>
        <v>4.2335140995575244</v>
      </c>
      <c r="H90" s="36" t="e">
        <f t="shared" si="30"/>
        <v>#VALUE!</v>
      </c>
    </row>
    <row r="91" spans="1:8" x14ac:dyDescent="0.25">
      <c r="A91" s="37"/>
      <c r="B91" s="13"/>
      <c r="C91" s="13"/>
      <c r="D91" s="13"/>
      <c r="E91" s="13"/>
      <c r="F91" s="13"/>
      <c r="G91" s="13"/>
      <c r="H91" s="54"/>
    </row>
    <row r="92" spans="1:8" x14ac:dyDescent="0.25">
      <c r="A92" s="38" t="s">
        <v>107</v>
      </c>
      <c r="B92" s="13"/>
      <c r="C92" s="13"/>
      <c r="D92" s="13"/>
      <c r="E92" s="13"/>
      <c r="F92" s="13"/>
      <c r="G92" s="13"/>
      <c r="H92" s="54"/>
    </row>
    <row r="93" spans="1:8" x14ac:dyDescent="0.25">
      <c r="A93" s="167" t="s">
        <v>159</v>
      </c>
      <c r="B93" s="168" t="s">
        <v>152</v>
      </c>
      <c r="C93" s="6" t="s">
        <v>29</v>
      </c>
      <c r="D93" s="18">
        <f>D87</f>
        <v>2016</v>
      </c>
      <c r="E93" s="18">
        <f t="shared" ref="E93:H93" si="31">E87</f>
        <v>2017</v>
      </c>
      <c r="F93" s="18">
        <f t="shared" si="31"/>
        <v>2018</v>
      </c>
      <c r="G93" s="18">
        <f t="shared" si="31"/>
        <v>2019</v>
      </c>
      <c r="H93" s="32">
        <f t="shared" si="31"/>
        <v>2020</v>
      </c>
    </row>
    <row r="94" spans="1:8" x14ac:dyDescent="0.25">
      <c r="A94" s="167"/>
      <c r="B94" s="168"/>
      <c r="C94" s="5" t="s">
        <v>97</v>
      </c>
      <c r="D94" s="16">
        <f>D28</f>
        <v>466430</v>
      </c>
      <c r="E94" s="16">
        <f>E28</f>
        <v>1652579.2200000007</v>
      </c>
      <c r="F94" s="16">
        <f>F28</f>
        <v>517163.89999999944</v>
      </c>
      <c r="G94" s="16">
        <f>G28</f>
        <v>305355.54000000004</v>
      </c>
      <c r="H94" s="33">
        <f>H28</f>
        <v>168165</v>
      </c>
    </row>
    <row r="95" spans="1:8" x14ac:dyDescent="0.25">
      <c r="A95" s="167"/>
      <c r="B95" s="168"/>
      <c r="C95" s="5" t="s">
        <v>104</v>
      </c>
      <c r="D95" s="16">
        <f>D26</f>
        <v>6157833.9199999999</v>
      </c>
      <c r="E95" s="16">
        <f>E26</f>
        <v>7374991.5000000009</v>
      </c>
      <c r="F95" s="16">
        <f>F26</f>
        <v>6501113.0699999994</v>
      </c>
      <c r="G95" s="16">
        <f>G26</f>
        <v>7317219.5299999993</v>
      </c>
      <c r="H95" s="33">
        <f>H26</f>
        <v>6539724</v>
      </c>
    </row>
    <row r="96" spans="1:8" x14ac:dyDescent="0.25">
      <c r="A96" s="167"/>
      <c r="B96" s="168"/>
      <c r="C96" s="19" t="s">
        <v>78</v>
      </c>
      <c r="D96" s="21">
        <f>IF(D94&lt;=0,0,D94/D95)</f>
        <v>7.5745790818600056E-2</v>
      </c>
      <c r="E96" s="21">
        <f t="shared" ref="E96" si="32">IF(E94&lt;=0,0,E94/E95)</f>
        <v>0.2240787965653927</v>
      </c>
      <c r="F96" s="21">
        <f t="shared" ref="F96" si="33">IF(F94&lt;=0,0,F94/F95)</f>
        <v>7.9550054649333998E-2</v>
      </c>
      <c r="G96" s="21">
        <f t="shared" ref="G96" si="34">IF(G94&lt;=0,0,G94/G95)</f>
        <v>4.1731089076672827E-2</v>
      </c>
      <c r="H96" s="36">
        <f t="shared" ref="H96" si="35">IF(H94&lt;=0,0,H94/H95)</f>
        <v>2.571438794664729E-2</v>
      </c>
    </row>
    <row r="97" spans="1:8" ht="14.25" thickBot="1" x14ac:dyDescent="0.3">
      <c r="A97" s="41"/>
      <c r="B97" s="42"/>
      <c r="C97" s="42"/>
      <c r="D97" s="42"/>
      <c r="E97" s="42"/>
      <c r="F97" s="42"/>
      <c r="G97" s="42"/>
      <c r="H97" s="43"/>
    </row>
    <row r="98" spans="1:8" ht="4.5" customHeight="1" thickBot="1" x14ac:dyDescent="0.3"/>
    <row r="99" spans="1:8" x14ac:dyDescent="0.25">
      <c r="A99" s="62" t="s">
        <v>126</v>
      </c>
      <c r="B99" s="59"/>
      <c r="C99" s="59"/>
      <c r="D99" s="59"/>
      <c r="E99" s="59"/>
      <c r="F99" s="59"/>
      <c r="G99" s="59"/>
      <c r="H99" s="63"/>
    </row>
    <row r="100" spans="1:8" ht="4.5" customHeight="1" x14ac:dyDescent="0.25">
      <c r="A100" s="38"/>
      <c r="B100" s="13"/>
      <c r="C100" s="13"/>
      <c r="D100" s="13"/>
      <c r="E100" s="13"/>
      <c r="F100" s="13"/>
      <c r="G100" s="13"/>
      <c r="H100" s="54"/>
    </row>
    <row r="101" spans="1:8" x14ac:dyDescent="0.25">
      <c r="A101" s="38" t="s">
        <v>127</v>
      </c>
      <c r="B101" s="13"/>
      <c r="C101" s="13"/>
      <c r="D101" s="13"/>
      <c r="E101" s="13"/>
      <c r="F101" s="13"/>
      <c r="G101" s="13"/>
      <c r="H101" s="54"/>
    </row>
    <row r="102" spans="1:8" ht="13.15" customHeight="1" x14ac:dyDescent="0.25">
      <c r="A102" s="167" t="s">
        <v>31</v>
      </c>
      <c r="B102" s="168" t="s">
        <v>156</v>
      </c>
      <c r="C102" s="6" t="s">
        <v>29</v>
      </c>
      <c r="D102" s="18">
        <f>D93</f>
        <v>2016</v>
      </c>
      <c r="E102" s="18">
        <f t="shared" ref="E102:H102" si="36">E93</f>
        <v>2017</v>
      </c>
      <c r="F102" s="18">
        <f t="shared" si="36"/>
        <v>2018</v>
      </c>
      <c r="G102" s="18">
        <f t="shared" si="36"/>
        <v>2019</v>
      </c>
      <c r="H102" s="32">
        <f t="shared" si="36"/>
        <v>2020</v>
      </c>
    </row>
    <row r="103" spans="1:8" x14ac:dyDescent="0.25">
      <c r="A103" s="167"/>
      <c r="B103" s="168"/>
      <c r="C103" s="5" t="s">
        <v>153</v>
      </c>
      <c r="D103" s="16">
        <f>IF(D105=0,0,(Données!C23+Données!C24)/D105)</f>
        <v>49399.54</v>
      </c>
      <c r="E103" s="16">
        <f>IF(E105=0,0,(Données!D23+Données!D24)/E105)</f>
        <v>54028.707297297304</v>
      </c>
      <c r="F103" s="16">
        <f>IF(F105=0,0,(Données!E23+Données!E24)/F105)</f>
        <v>52060.356081081081</v>
      </c>
      <c r="G103" s="16">
        <f>IF(G105=0,0,(Données!F23+Données!F24)/G105)</f>
        <v>56151.400135135133</v>
      </c>
      <c r="H103" s="33">
        <f>IF(H105=0,0,(Données!G23+Données!G24)/H105)</f>
        <v>53972.413793103449</v>
      </c>
    </row>
    <row r="104" spans="1:8" x14ac:dyDescent="0.25">
      <c r="A104" s="167"/>
      <c r="B104" s="168"/>
      <c r="C104" s="5" t="s">
        <v>155</v>
      </c>
      <c r="D104" s="56">
        <f>IF(D103=0,0,D16/D103)</f>
        <v>-0.67051434082178962</v>
      </c>
      <c r="E104" s="56">
        <f>IF(E103=0,0,E16/E103)</f>
        <v>19.82310652199476</v>
      </c>
      <c r="F104" s="56">
        <f>IF(F103=0,0,F16/F103)</f>
        <v>-1.9769764893598829</v>
      </c>
      <c r="G104" s="56">
        <f>IF(G103=0,0,G16/G103)</f>
        <v>-4.4618559714815067</v>
      </c>
      <c r="H104" s="64">
        <f>IF(H103=0,0,H16/H103)</f>
        <v>-6.9392857142857141</v>
      </c>
    </row>
    <row r="105" spans="1:8" x14ac:dyDescent="0.25">
      <c r="A105" s="167"/>
      <c r="B105" s="168"/>
      <c r="C105" s="5" t="s">
        <v>154</v>
      </c>
      <c r="D105" s="56">
        <f>Données!C101</f>
        <v>71</v>
      </c>
      <c r="E105" s="56">
        <f>Données!D101</f>
        <v>74</v>
      </c>
      <c r="F105" s="56">
        <f>Données!E101</f>
        <v>74</v>
      </c>
      <c r="G105" s="56">
        <f>Données!F101</f>
        <v>74</v>
      </c>
      <c r="H105" s="64">
        <f>Données!G101</f>
        <v>72.5</v>
      </c>
    </row>
    <row r="106" spans="1:8" ht="14.25" thickBot="1" x14ac:dyDescent="0.3">
      <c r="A106" s="171"/>
      <c r="B106" s="170"/>
      <c r="C106" s="65" t="s">
        <v>129</v>
      </c>
      <c r="D106" s="66">
        <f>Données!C101-AF!D104</f>
        <v>71.670514340821796</v>
      </c>
      <c r="E106" s="66">
        <f>Données!D101-AF!E104</f>
        <v>54.17689347800524</v>
      </c>
      <c r="F106" s="66">
        <f>Données!E101-AF!F104</f>
        <v>75.976976489359885</v>
      </c>
      <c r="G106" s="66">
        <f>Données!F101-AF!G104</f>
        <v>78.461855971481512</v>
      </c>
      <c r="H106" s="67">
        <f>Données!G101-AF!H104</f>
        <v>79.439285714285717</v>
      </c>
    </row>
  </sheetData>
  <sheetProtection sort="0" autoFilter="0"/>
  <mergeCells count="23">
    <mergeCell ref="B45:B48"/>
    <mergeCell ref="B102:B106"/>
    <mergeCell ref="A102:A106"/>
    <mergeCell ref="A51:A54"/>
    <mergeCell ref="B51:B54"/>
    <mergeCell ref="A69:A72"/>
    <mergeCell ref="B69:B72"/>
    <mergeCell ref="D1:H1"/>
    <mergeCell ref="A93:A96"/>
    <mergeCell ref="B93:B96"/>
    <mergeCell ref="A57:A60"/>
    <mergeCell ref="B57:B60"/>
    <mergeCell ref="A63:A66"/>
    <mergeCell ref="B63:B66"/>
    <mergeCell ref="A78:A81"/>
    <mergeCell ref="B78:B81"/>
    <mergeCell ref="A87:A90"/>
    <mergeCell ref="B87:B90"/>
    <mergeCell ref="A33:A36"/>
    <mergeCell ref="B33:B36"/>
    <mergeCell ref="A39:A42"/>
    <mergeCell ref="B39:B42"/>
    <mergeCell ref="A45:A48"/>
  </mergeCells>
  <conditionalFormatting sqref="D36:H36">
    <cfRule type="cellIs" dxfId="53" priority="32" operator="between">
      <formula>2</formula>
      <formula>2.5</formula>
    </cfRule>
    <cfRule type="cellIs" dxfId="52" priority="33" operator="lessThan">
      <formula>2</formula>
    </cfRule>
    <cfRule type="cellIs" dxfId="51" priority="34" operator="greaterThan">
      <formula>2.5</formula>
    </cfRule>
  </conditionalFormatting>
  <conditionalFormatting sqref="D42:H42">
    <cfRule type="cellIs" dxfId="50" priority="2" operator="equal">
      <formula>"Impossible"</formula>
    </cfRule>
    <cfRule type="cellIs" dxfId="49" priority="26" operator="lessThan">
      <formula>25</formula>
    </cfRule>
    <cfRule type="cellIs" dxfId="48" priority="27" operator="between">
      <formula>25</formula>
      <formula>30</formula>
    </cfRule>
    <cfRule type="cellIs" dxfId="47" priority="28" operator="greaterThan">
      <formula>30</formula>
    </cfRule>
  </conditionalFormatting>
  <conditionalFormatting sqref="D48:H48">
    <cfRule type="cellIs" dxfId="46" priority="20" operator="greaterThan">
      <formula>0.1</formula>
    </cfRule>
    <cfRule type="cellIs" dxfId="45" priority="21" operator="between">
      <formula>0.05</formula>
      <formula>0.1</formula>
    </cfRule>
    <cfRule type="cellIs" dxfId="44" priority="22" operator="lessThan">
      <formula>0.05</formula>
    </cfRule>
  </conditionalFormatting>
  <conditionalFormatting sqref="D72:H72">
    <cfRule type="cellIs" dxfId="43" priority="12" operator="equal">
      <formula>"Insuffisant"</formula>
    </cfRule>
    <cfRule type="cellIs" dxfId="42" priority="13" operator="equal">
      <formula>"OK"</formula>
    </cfRule>
  </conditionalFormatting>
  <conditionalFormatting sqref="D81:H81">
    <cfRule type="cellIs" dxfId="41" priority="9" operator="lessThan">
      <formula>0.8</formula>
    </cfRule>
    <cfRule type="cellIs" dxfId="40" priority="10" operator="between">
      <formula>0.8</formula>
      <formula>1</formula>
    </cfRule>
    <cfRule type="cellIs" dxfId="39" priority="11" operator="greaterThan">
      <formula>1</formula>
    </cfRule>
  </conditionalFormatting>
  <conditionalFormatting sqref="D60:H60">
    <cfRule type="cellIs" dxfId="38" priority="7" operator="lessThan">
      <formula>0</formula>
    </cfRule>
    <cfRule type="cellIs" dxfId="37" priority="8" operator="greaterThan">
      <formula>0</formula>
    </cfRule>
  </conditionalFormatting>
  <conditionalFormatting sqref="D96:H96">
    <cfRule type="cellIs" dxfId="36" priority="3" operator="lessThan">
      <formula>0.1</formula>
    </cfRule>
    <cfRule type="cellIs" dxfId="35" priority="4" operator="between">
      <formula>0.1</formula>
      <formula>0.2</formula>
    </cfRule>
    <cfRule type="cellIs" dxfId="34" priority="5" operator="greaterThan">
      <formula>0.2</formula>
    </cfRule>
  </conditionalFormatting>
  <conditionalFormatting sqref="D90:H90">
    <cfRule type="cellIs" dxfId="33" priority="1" operator="equal">
      <formula>0</formula>
    </cfRule>
  </conditionalFormatting>
  <pageMargins left="0.25" right="0.25" top="0.75" bottom="0.75" header="0.3" footer="0.3"/>
  <pageSetup paperSize="9" orientation="portrait" r:id="rId1"/>
  <headerFooter>
    <oddHeader>&amp;LV1.0&amp;CAnalyse financière&amp;R&amp;D</oddHeader>
    <oddFooter>&amp;LFichier d'analyse réalisé par l'UCV
conseils@ucv.ch&amp;C&amp;G&amp;R&amp;P/&amp;N</oddFooter>
  </headerFooter>
  <rowBreaks count="1" manualBreakCount="1">
    <brk id="6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B458-6561-49A3-A4C9-F729FD7157BB}">
  <sheetPr>
    <tabColor theme="0" tint="-0.499984740745262"/>
  </sheetPr>
  <dimension ref="A1:I37"/>
  <sheetViews>
    <sheetView showWhiteSpace="0" view="pageLayout" topLeftCell="A2" zoomScale="145" zoomScaleNormal="100" zoomScalePageLayoutView="145" workbookViewId="0">
      <selection activeCell="C6" sqref="C6"/>
    </sheetView>
  </sheetViews>
  <sheetFormatPr baseColWidth="10" defaultRowHeight="13.5" x14ac:dyDescent="0.25"/>
  <cols>
    <col min="1" max="1" width="64.59765625" customWidth="1"/>
    <col min="2" max="6" width="18.3984375" customWidth="1"/>
    <col min="7" max="7" width="2.3984375" customWidth="1"/>
    <col min="8" max="9" width="16.19921875" customWidth="1"/>
  </cols>
  <sheetData>
    <row r="1" spans="1:9" ht="15.75" x14ac:dyDescent="0.25">
      <c r="A1" s="88" t="s">
        <v>82</v>
      </c>
      <c r="B1" s="88" t="str">
        <f>Données!D1</f>
        <v>Bassins</v>
      </c>
    </row>
    <row r="2" spans="1:9" ht="15" x14ac:dyDescent="0.25">
      <c r="F2" s="163" t="str">
        <f>Données!G2</f>
        <v>Budget</v>
      </c>
    </row>
    <row r="3" spans="1:9" ht="17.100000000000001" customHeight="1" x14ac:dyDescent="0.3">
      <c r="A3" s="68" t="s">
        <v>83</v>
      </c>
      <c r="B3" s="69">
        <f>AF!D5</f>
        <v>2016</v>
      </c>
      <c r="C3" s="69">
        <f>AF!E5</f>
        <v>2017</v>
      </c>
      <c r="D3" s="69">
        <f>AF!F5</f>
        <v>2018</v>
      </c>
      <c r="E3" s="69">
        <f>AF!G5</f>
        <v>2019</v>
      </c>
      <c r="F3" s="69">
        <f>AF!H5</f>
        <v>2020</v>
      </c>
      <c r="G3" s="70"/>
      <c r="H3" s="69" t="s">
        <v>88</v>
      </c>
      <c r="I3" s="69" t="s">
        <v>121</v>
      </c>
    </row>
    <row r="4" spans="1:9" ht="17.100000000000001" customHeight="1" x14ac:dyDescent="0.3">
      <c r="A4" s="71" t="s">
        <v>204</v>
      </c>
      <c r="B4" s="72">
        <f>AF!D27+AF!D17+AF!D18+AF!D20</f>
        <v>6190957.0199999996</v>
      </c>
      <c r="C4" s="72">
        <f>AF!E27+AF!E17+AF!E18+AF!E20</f>
        <v>6303974.6800000006</v>
      </c>
      <c r="D4" s="72">
        <f>AF!F27+AF!F17+AF!F18+AF!F20</f>
        <v>6604035.1699999999</v>
      </c>
      <c r="E4" s="72">
        <f>AF!G27+AF!G17+AF!G18+AF!G20</f>
        <v>7567758.9899999993</v>
      </c>
      <c r="F4" s="72">
        <f>AF!H27+AF!H17+AF!H18+AF!H20</f>
        <v>6914254</v>
      </c>
      <c r="G4" s="73"/>
      <c r="H4" s="72">
        <f>AVERAGE(B4:F4)</f>
        <v>6716195.9720000001</v>
      </c>
      <c r="I4" s="150">
        <f>(F4/B4)^(1/5)-1</f>
        <v>2.2345072523678233E-2</v>
      </c>
    </row>
    <row r="5" spans="1:9" ht="17.100000000000001" customHeight="1" x14ac:dyDescent="0.3">
      <c r="A5" s="71" t="s">
        <v>205</v>
      </c>
      <c r="B5" s="72">
        <f>AF!D26-AF!D19</f>
        <v>6157833.9199999999</v>
      </c>
      <c r="C5" s="72">
        <f>AF!E26-AF!E19</f>
        <v>7374991.5000000009</v>
      </c>
      <c r="D5" s="72">
        <f>AF!F26-AF!F19</f>
        <v>6501113.0699999994</v>
      </c>
      <c r="E5" s="72">
        <f>AF!G26-AF!G19</f>
        <v>7317219.5299999993</v>
      </c>
      <c r="F5" s="72">
        <f>AF!H26-AF!H19</f>
        <v>6539724</v>
      </c>
      <c r="G5" s="73"/>
      <c r="H5" s="72">
        <f t="shared" ref="H5:H6" si="0">AVERAGE(B5:F5)</f>
        <v>6778176.404000001</v>
      </c>
      <c r="I5" s="150">
        <f t="shared" ref="I5:I10" si="1">(F5/B5)^(1/5)-1</f>
        <v>1.2106676306655517E-2</v>
      </c>
    </row>
    <row r="6" spans="1:9" ht="17.100000000000001" customHeight="1" x14ac:dyDescent="0.3">
      <c r="A6" s="84" t="s">
        <v>161</v>
      </c>
      <c r="B6" s="85">
        <f>B5-B4</f>
        <v>-33123.099999999627</v>
      </c>
      <c r="C6" s="85">
        <f t="shared" ref="C6:F6" si="2">C5-C4</f>
        <v>1071016.8200000003</v>
      </c>
      <c r="D6" s="85">
        <f t="shared" si="2"/>
        <v>-102922.10000000056</v>
      </c>
      <c r="E6" s="85">
        <f t="shared" si="2"/>
        <v>-250539.45999999996</v>
      </c>
      <c r="F6" s="85">
        <f t="shared" si="2"/>
        <v>-374530</v>
      </c>
      <c r="G6" s="73"/>
      <c r="H6" s="72">
        <f t="shared" si="0"/>
        <v>61980.43200000003</v>
      </c>
      <c r="I6" s="150">
        <f t="shared" si="1"/>
        <v>0.62431826167586868</v>
      </c>
    </row>
    <row r="7" spans="1:9" ht="17.100000000000001" customHeight="1" x14ac:dyDescent="0.3">
      <c r="A7" s="71" t="s">
        <v>84</v>
      </c>
      <c r="B7" s="72">
        <f>AF!D17+AF!D18+AF!D19+AF!D20</f>
        <v>499553.1</v>
      </c>
      <c r="C7" s="72">
        <f>AF!E17+AF!E18+AF!E19+AF!E20</f>
        <v>581562.4</v>
      </c>
      <c r="D7" s="72">
        <f>AF!F17+AF!F18+AF!F19+AF!F20</f>
        <v>620086</v>
      </c>
      <c r="E7" s="72">
        <f>AF!G17+AF!G18+AF!G19+AF!G20</f>
        <v>555895</v>
      </c>
      <c r="F7" s="72">
        <f>AF!H17+AF!H18+AF!H19+AF!H20</f>
        <v>542695</v>
      </c>
      <c r="G7" s="73"/>
      <c r="H7" s="72">
        <f t="shared" ref="H7:H8" si="3">AVERAGE(B7:F7)</f>
        <v>559958.30000000005</v>
      </c>
      <c r="I7" s="150">
        <f t="shared" si="1"/>
        <v>1.6704702775826918E-2</v>
      </c>
    </row>
    <row r="8" spans="1:9" ht="17.100000000000001" customHeight="1" x14ac:dyDescent="0.3">
      <c r="A8" s="82" t="s">
        <v>168</v>
      </c>
      <c r="B8" s="83">
        <f>B6+B7</f>
        <v>466430.00000000035</v>
      </c>
      <c r="C8" s="83">
        <f t="shared" ref="C8:F8" si="4">C6+C7</f>
        <v>1652579.2200000002</v>
      </c>
      <c r="D8" s="83">
        <f t="shared" si="4"/>
        <v>517163.89999999944</v>
      </c>
      <c r="E8" s="83">
        <f t="shared" si="4"/>
        <v>305355.54000000004</v>
      </c>
      <c r="F8" s="83">
        <f t="shared" si="4"/>
        <v>168165</v>
      </c>
      <c r="G8" s="73"/>
      <c r="H8" s="72">
        <f t="shared" si="3"/>
        <v>621938.73200000008</v>
      </c>
      <c r="I8" s="150">
        <f t="shared" si="1"/>
        <v>-0.18456410076472785</v>
      </c>
    </row>
    <row r="9" spans="1:9" ht="17.100000000000001" customHeight="1" x14ac:dyDescent="0.3">
      <c r="A9" s="71" t="s">
        <v>122</v>
      </c>
      <c r="B9" s="72">
        <f>AF!D89</f>
        <v>900135.6</v>
      </c>
      <c r="C9" s="72">
        <f>AF!E89</f>
        <v>407203.15</v>
      </c>
      <c r="D9" s="72">
        <f>AF!F89</f>
        <v>-33486.149999999965</v>
      </c>
      <c r="E9" s="72">
        <f>AF!G89</f>
        <v>72128.149999999994</v>
      </c>
      <c r="F9" s="72" t="e">
        <f>AF!H89</f>
        <v>#VALUE!</v>
      </c>
      <c r="G9" s="73"/>
      <c r="H9" s="72" t="e">
        <f t="shared" ref="H9:H10" si="5">AVERAGE(B9:F9)</f>
        <v>#VALUE!</v>
      </c>
      <c r="I9" s="150" t="e">
        <f t="shared" si="1"/>
        <v>#VALUE!</v>
      </c>
    </row>
    <row r="10" spans="1:9" ht="17.100000000000001" customHeight="1" x14ac:dyDescent="0.3">
      <c r="A10" s="82" t="s">
        <v>123</v>
      </c>
      <c r="B10" s="83">
        <f>AF!D24</f>
        <v>-433705.59999999963</v>
      </c>
      <c r="C10" s="83">
        <f>AF!E24</f>
        <v>1245376.0700000003</v>
      </c>
      <c r="D10" s="83">
        <f>AF!F24</f>
        <v>550650.04999999877</v>
      </c>
      <c r="E10" s="83">
        <f>AF!G24</f>
        <v>233227.38999999984</v>
      </c>
      <c r="F10" s="83" t="e">
        <f>AF!H24</f>
        <v>#VALUE!</v>
      </c>
      <c r="G10" s="73"/>
      <c r="H10" s="72" t="e">
        <f t="shared" si="5"/>
        <v>#VALUE!</v>
      </c>
      <c r="I10" s="150" t="e">
        <f t="shared" si="1"/>
        <v>#VALUE!</v>
      </c>
    </row>
    <row r="11" spans="1:9" ht="17.100000000000001" customHeight="1" x14ac:dyDescent="0.3">
      <c r="A11" s="74"/>
      <c r="B11" s="73"/>
      <c r="C11" s="73"/>
      <c r="D11" s="73"/>
      <c r="E11" s="73"/>
      <c r="F11" s="73"/>
      <c r="G11" s="73"/>
      <c r="H11" s="73"/>
      <c r="I11" s="73"/>
    </row>
    <row r="12" spans="1:9" ht="17.100000000000001" customHeight="1" thickBot="1" x14ac:dyDescent="0.35">
      <c r="A12" s="75" t="s">
        <v>160</v>
      </c>
      <c r="B12" s="76">
        <f>B3</f>
        <v>2016</v>
      </c>
      <c r="C12" s="76">
        <f t="shared" ref="C12:F12" si="6">C3</f>
        <v>2017</v>
      </c>
      <c r="D12" s="76">
        <f t="shared" si="6"/>
        <v>2018</v>
      </c>
      <c r="E12" s="76">
        <f t="shared" si="6"/>
        <v>2019</v>
      </c>
      <c r="F12" s="76">
        <f t="shared" si="6"/>
        <v>2020</v>
      </c>
      <c r="G12" s="73"/>
      <c r="H12" s="93"/>
      <c r="I12" s="93"/>
    </row>
    <row r="13" spans="1:9" ht="17.100000000000001" customHeight="1" x14ac:dyDescent="0.3">
      <c r="A13" s="71" t="s">
        <v>85</v>
      </c>
      <c r="B13" s="77">
        <f>AF!D106</f>
        <v>71.670514340821796</v>
      </c>
      <c r="C13" s="77">
        <f>AF!E106</f>
        <v>54.17689347800524</v>
      </c>
      <c r="D13" s="77">
        <f>AF!F106</f>
        <v>75.976976489359885</v>
      </c>
      <c r="E13" s="77">
        <f>AF!G106</f>
        <v>78.461855971481512</v>
      </c>
      <c r="F13" s="77">
        <f>AF!H106</f>
        <v>79.439285714285717</v>
      </c>
      <c r="G13" s="73"/>
      <c r="H13" s="175" t="s">
        <v>184</v>
      </c>
      <c r="I13" s="176"/>
    </row>
    <row r="14" spans="1:9" ht="17.100000000000001" customHeight="1" x14ac:dyDescent="0.3">
      <c r="A14" s="86" t="s">
        <v>106</v>
      </c>
      <c r="B14" s="87">
        <f>AF!D34</f>
        <v>15805267.5</v>
      </c>
      <c r="C14" s="87">
        <f>AF!E34</f>
        <v>15118637.91</v>
      </c>
      <c r="D14" s="87">
        <f>AF!F34</f>
        <v>14405548.129999999</v>
      </c>
      <c r="E14" s="87">
        <f>AF!G34</f>
        <v>14132261.5</v>
      </c>
      <c r="F14" s="87" t="e">
        <f>AF!H34</f>
        <v>#VALUE!</v>
      </c>
      <c r="G14" s="73"/>
      <c r="H14" s="177"/>
      <c r="I14" s="178"/>
    </row>
    <row r="15" spans="1:9" ht="17.100000000000001" customHeight="1" thickBot="1" x14ac:dyDescent="0.35">
      <c r="A15" s="71" t="s">
        <v>131</v>
      </c>
      <c r="B15" s="72">
        <f>AF!D54</f>
        <v>13992900.000000011</v>
      </c>
      <c r="C15" s="72">
        <f>AF!E54</f>
        <v>49577376.600000009</v>
      </c>
      <c r="D15" s="72">
        <f>AF!F54</f>
        <v>15514916.999999966</v>
      </c>
      <c r="E15" s="72">
        <f>AF!G54</f>
        <v>9160666.1999999937</v>
      </c>
      <c r="F15" s="72">
        <f>AF!H54</f>
        <v>5044950</v>
      </c>
      <c r="G15" s="73"/>
      <c r="H15" s="179">
        <f>IF(H8&lt;=0,0,H8*30)</f>
        <v>18658161.960000001</v>
      </c>
      <c r="I15" s="180"/>
    </row>
    <row r="16" spans="1:9" ht="17.100000000000001" customHeight="1" x14ac:dyDescent="0.3">
      <c r="A16" s="86" t="s">
        <v>86</v>
      </c>
      <c r="B16" s="87">
        <f>AF!D60</f>
        <v>-1812367.4999999888</v>
      </c>
      <c r="C16" s="87">
        <f>AF!E60</f>
        <v>34458738.690000013</v>
      </c>
      <c r="D16" s="87">
        <f>AF!F60</f>
        <v>1109368.8699999675</v>
      </c>
      <c r="E16" s="87">
        <f>AF!G60</f>
        <v>-4971595.3000000063</v>
      </c>
      <c r="F16" s="87" t="e">
        <f>AF!H60</f>
        <v>#VALUE!</v>
      </c>
      <c r="G16" s="73"/>
      <c r="H16" s="93"/>
      <c r="I16" s="93"/>
    </row>
    <row r="17" spans="1:9" ht="17.100000000000001" customHeight="1" x14ac:dyDescent="0.3">
      <c r="A17" s="71" t="s">
        <v>87</v>
      </c>
      <c r="B17" s="72">
        <f>AF!D66</f>
        <v>526842.25</v>
      </c>
      <c r="C17" s="72">
        <f>AF!E66</f>
        <v>503954.59700000001</v>
      </c>
      <c r="D17" s="72">
        <f>AF!F66</f>
        <v>480184.93766666664</v>
      </c>
      <c r="E17" s="72">
        <f>AF!G66</f>
        <v>471075.38333333336</v>
      </c>
      <c r="F17" s="72" t="e">
        <f>AF!H66</f>
        <v>#VALUE!</v>
      </c>
      <c r="G17" s="73"/>
      <c r="H17" s="93"/>
      <c r="I17" s="93"/>
    </row>
    <row r="18" spans="1:9" ht="4.5" customHeight="1" x14ac:dyDescent="0.3">
      <c r="A18" s="172"/>
      <c r="B18" s="173"/>
      <c r="C18" s="173"/>
      <c r="D18" s="173"/>
      <c r="E18" s="173"/>
      <c r="F18" s="174"/>
      <c r="G18" s="73"/>
      <c r="H18" s="78"/>
      <c r="I18" s="78"/>
    </row>
    <row r="19" spans="1:9" ht="17.100000000000001" customHeight="1" x14ac:dyDescent="0.3">
      <c r="A19" s="71" t="s">
        <v>66</v>
      </c>
      <c r="B19" s="77">
        <f>AF!D36</f>
        <v>2.5666927210664365</v>
      </c>
      <c r="C19" s="77">
        <f>AF!E36</f>
        <v>2.0499871640530025</v>
      </c>
      <c r="D19" s="77">
        <f>AF!F36</f>
        <v>2.2158587267887651</v>
      </c>
      <c r="E19" s="77">
        <f>AF!G36</f>
        <v>1.9313704395582076</v>
      </c>
      <c r="F19" s="77" t="e">
        <f>AF!H36</f>
        <v>#VALUE!</v>
      </c>
      <c r="G19" s="73"/>
      <c r="H19" s="73"/>
      <c r="I19" s="73"/>
    </row>
    <row r="20" spans="1:9" ht="17.100000000000001" customHeight="1" x14ac:dyDescent="0.3">
      <c r="A20" s="71" t="s">
        <v>72</v>
      </c>
      <c r="B20" s="72">
        <f>AF!D42</f>
        <v>33.885615204853863</v>
      </c>
      <c r="C20" s="72">
        <f>AF!E42</f>
        <v>9.1485102360176107</v>
      </c>
      <c r="D20" s="72">
        <f>AF!F42</f>
        <v>27.854898862817052</v>
      </c>
      <c r="E20" s="72">
        <f>AF!G42</f>
        <v>46.281333228799483</v>
      </c>
      <c r="F20" s="72" t="e">
        <f>AF!H42</f>
        <v>#VALUE!</v>
      </c>
      <c r="G20" s="73"/>
      <c r="H20" s="73"/>
      <c r="I20" s="73"/>
    </row>
    <row r="21" spans="1:9" ht="17.100000000000001" customHeight="1" x14ac:dyDescent="0.3">
      <c r="A21" s="71" t="s">
        <v>76</v>
      </c>
      <c r="B21" s="79">
        <f>AF!D48</f>
        <v>4.7350166274052412E-2</v>
      </c>
      <c r="C21" s="79">
        <f>AF!E48</f>
        <v>3.9671817926841005E-2</v>
      </c>
      <c r="D21" s="79">
        <f>AF!F48</f>
        <v>4.4399086262931278E-2</v>
      </c>
      <c r="E21" s="79">
        <f>AF!G48</f>
        <v>3.8269030859594842E-2</v>
      </c>
      <c r="F21" s="79">
        <f>AF!H48</f>
        <v>4.2610360926546749E-2</v>
      </c>
      <c r="G21" s="73"/>
      <c r="H21" s="73"/>
      <c r="I21" s="73"/>
    </row>
    <row r="23" spans="1:9" x14ac:dyDescent="0.25">
      <c r="I23" s="81"/>
    </row>
    <row r="24" spans="1:9" x14ac:dyDescent="0.25">
      <c r="I24" s="81"/>
    </row>
    <row r="25" spans="1:9" x14ac:dyDescent="0.25">
      <c r="I25" s="81"/>
    </row>
    <row r="26" spans="1:9" x14ac:dyDescent="0.25">
      <c r="I26" s="81"/>
    </row>
    <row r="27" spans="1:9" x14ac:dyDescent="0.25">
      <c r="I27" s="81"/>
    </row>
    <row r="28" spans="1:9" x14ac:dyDescent="0.25">
      <c r="I28" s="81"/>
    </row>
    <row r="29" spans="1:9" x14ac:dyDescent="0.25">
      <c r="I29" s="81"/>
    </row>
    <row r="30" spans="1:9" x14ac:dyDescent="0.25">
      <c r="I30" s="81"/>
    </row>
    <row r="31" spans="1:9" x14ac:dyDescent="0.25">
      <c r="I31" s="81"/>
    </row>
    <row r="37" spans="1:4" x14ac:dyDescent="0.25">
      <c r="A37" t="s">
        <v>202</v>
      </c>
      <c r="D37" t="s">
        <v>203</v>
      </c>
    </row>
  </sheetData>
  <sheetProtection sort="0" autoFilter="0"/>
  <mergeCells count="3">
    <mergeCell ref="A18:F18"/>
    <mergeCell ref="H13:I14"/>
    <mergeCell ref="H15:I15"/>
  </mergeCells>
  <conditionalFormatting sqref="B19:F19">
    <cfRule type="cellIs" dxfId="32" priority="10" operator="lessThan">
      <formula>2</formula>
    </cfRule>
    <cfRule type="cellIs" dxfId="31" priority="11" operator="between">
      <formula>2</formula>
      <formula>2.5</formula>
    </cfRule>
    <cfRule type="cellIs" dxfId="30" priority="12" operator="greaterThan">
      <formula>2.5</formula>
    </cfRule>
  </conditionalFormatting>
  <conditionalFormatting sqref="B20:F20">
    <cfRule type="cellIs" dxfId="29" priority="7" operator="lessThan">
      <formula>25</formula>
    </cfRule>
    <cfRule type="cellIs" dxfId="28" priority="8" operator="between">
      <formula>25</formula>
      <formula>30</formula>
    </cfRule>
    <cfRule type="cellIs" dxfId="27" priority="9" operator="greaterThan">
      <formula>30</formula>
    </cfRule>
  </conditionalFormatting>
  <conditionalFormatting sqref="B21:F21">
    <cfRule type="cellIs" dxfId="26" priority="4" operator="lessThan">
      <formula>0.05</formula>
    </cfRule>
    <cfRule type="cellIs" dxfId="25" priority="5" operator="between">
      <formula>0.05</formula>
      <formula>0.1</formula>
    </cfRule>
    <cfRule type="cellIs" dxfId="24" priority="6" operator="greaterThan">
      <formula>0.1</formula>
    </cfRule>
  </conditionalFormatting>
  <pageMargins left="0.25" right="0.25" top="0.75" bottom="0.75" header="0.3" footer="0.3"/>
  <pageSetup paperSize="9" orientation="landscape" r:id="rId1"/>
  <headerFooter>
    <oddHeader>&amp;LV1.0&amp;CTableau de bord&amp;R&amp;D</oddHeader>
    <oddFooter>&amp;L&amp;8Fichier d'analyse réalisé par l'UCV
conseils@ucv.ch&amp;C&amp;G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C177-BD88-4F50-8EE2-103A4FE61D0E}">
  <sheetPr>
    <tabColor theme="4" tint="0.39997558519241921"/>
  </sheetPr>
  <dimension ref="A1:H145"/>
  <sheetViews>
    <sheetView showRuler="0" showWhiteSpace="0" view="pageLayout" zoomScale="145" zoomScaleNormal="100" zoomScalePageLayoutView="145" workbookViewId="0">
      <selection activeCell="C6" sqref="C6"/>
    </sheetView>
  </sheetViews>
  <sheetFormatPr baseColWidth="10" defaultRowHeight="13.5" x14ac:dyDescent="0.25"/>
  <cols>
    <col min="1" max="1" width="48.3984375" customWidth="1"/>
    <col min="2" max="6" width="14" customWidth="1"/>
    <col min="7" max="7" width="2.3984375" customWidth="1"/>
    <col min="8" max="12" width="13.19921875" bestFit="1" customWidth="1"/>
  </cols>
  <sheetData>
    <row r="1" spans="1:8" ht="16.5" x14ac:dyDescent="0.3">
      <c r="A1" s="1" t="s">
        <v>183</v>
      </c>
      <c r="B1" s="1" t="str">
        <f>TBAF!B1</f>
        <v>Bassins</v>
      </c>
    </row>
    <row r="2" spans="1:8" ht="14.25" thickBot="1" x14ac:dyDescent="0.3"/>
    <row r="3" spans="1:8" ht="13.5" customHeight="1" x14ac:dyDescent="0.25">
      <c r="A3" s="123" t="s">
        <v>46</v>
      </c>
      <c r="B3" s="111"/>
      <c r="C3" s="111"/>
      <c r="D3" s="111"/>
      <c r="E3" s="111"/>
      <c r="F3" s="111"/>
      <c r="G3" s="111"/>
      <c r="H3" s="113"/>
    </row>
    <row r="4" spans="1:8" ht="6.6" customHeight="1" x14ac:dyDescent="0.25">
      <c r="A4" s="37"/>
      <c r="B4" s="13"/>
      <c r="C4" s="13"/>
      <c r="D4" s="13"/>
      <c r="E4" s="13"/>
      <c r="F4" s="13"/>
      <c r="G4" s="13"/>
      <c r="H4" s="54"/>
    </row>
    <row r="5" spans="1:8" ht="13.5" customHeight="1" x14ac:dyDescent="0.25">
      <c r="A5" s="116" t="s">
        <v>175</v>
      </c>
      <c r="B5" s="114">
        <f>TBAF!F3+1</f>
        <v>2021</v>
      </c>
      <c r="C5" s="114">
        <f>B5+1</f>
        <v>2022</v>
      </c>
      <c r="D5" s="114">
        <f t="shared" ref="D5:F5" si="0">C5+1</f>
        <v>2023</v>
      </c>
      <c r="E5" s="114">
        <f t="shared" si="0"/>
        <v>2024</v>
      </c>
      <c r="F5" s="114">
        <f t="shared" si="0"/>
        <v>2025</v>
      </c>
      <c r="G5" s="28"/>
      <c r="H5" s="54"/>
    </row>
    <row r="6" spans="1:8" x14ac:dyDescent="0.25">
      <c r="A6" s="117" t="s">
        <v>173</v>
      </c>
      <c r="B6" s="135"/>
      <c r="C6" s="135"/>
      <c r="D6" s="135"/>
      <c r="E6" s="135"/>
      <c r="F6" s="135"/>
      <c r="G6" s="13"/>
      <c r="H6" s="118" t="s">
        <v>185</v>
      </c>
    </row>
    <row r="7" spans="1:8" x14ac:dyDescent="0.25">
      <c r="A7" s="117" t="s">
        <v>174</v>
      </c>
      <c r="B7" s="16"/>
      <c r="C7" s="16">
        <f>B6/H7</f>
        <v>0</v>
      </c>
      <c r="D7" s="16">
        <f>C7+(C6/H7)</f>
        <v>0</v>
      </c>
      <c r="E7" s="16">
        <f>D7+(D6/H7)</f>
        <v>0</v>
      </c>
      <c r="F7" s="16">
        <f>E7+(E6/H7)</f>
        <v>0</v>
      </c>
      <c r="G7" s="13"/>
      <c r="H7" s="138">
        <v>30</v>
      </c>
    </row>
    <row r="8" spans="1:8" x14ac:dyDescent="0.25">
      <c r="A8" s="117" t="s">
        <v>242</v>
      </c>
      <c r="B8" s="135"/>
      <c r="C8" s="135"/>
      <c r="D8" s="135"/>
      <c r="E8" s="135"/>
      <c r="F8" s="135"/>
      <c r="G8" s="13"/>
      <c r="H8" s="147" t="s">
        <v>198</v>
      </c>
    </row>
    <row r="9" spans="1:8" x14ac:dyDescent="0.25">
      <c r="A9" s="119" t="s">
        <v>189</v>
      </c>
      <c r="B9" s="115">
        <f>SUM(B7:B8)</f>
        <v>0</v>
      </c>
      <c r="C9" s="115">
        <f>SUM(C7:C8)</f>
        <v>0</v>
      </c>
      <c r="D9" s="115">
        <f t="shared" ref="D9:F9" si="1">SUM(D7:D8)</f>
        <v>0</v>
      </c>
      <c r="E9" s="115">
        <f t="shared" si="1"/>
        <v>0</v>
      </c>
      <c r="F9" s="115">
        <f t="shared" si="1"/>
        <v>0</v>
      </c>
      <c r="G9" s="13"/>
      <c r="H9" s="149" t="s">
        <v>197</v>
      </c>
    </row>
    <row r="10" spans="1:8" x14ac:dyDescent="0.25">
      <c r="A10" s="37"/>
      <c r="B10" s="29"/>
      <c r="C10" s="29"/>
      <c r="D10" s="29"/>
      <c r="E10" s="29"/>
      <c r="F10" s="29"/>
      <c r="G10" s="13"/>
      <c r="H10" s="54"/>
    </row>
    <row r="11" spans="1:8" x14ac:dyDescent="0.25">
      <c r="A11" s="116" t="s">
        <v>186</v>
      </c>
      <c r="B11" s="114">
        <f>B5</f>
        <v>2021</v>
      </c>
      <c r="C11" s="114">
        <f t="shared" ref="C11:F11" si="2">C5</f>
        <v>2022</v>
      </c>
      <c r="D11" s="114">
        <f t="shared" si="2"/>
        <v>2023</v>
      </c>
      <c r="E11" s="114">
        <f t="shared" si="2"/>
        <v>2024</v>
      </c>
      <c r="F11" s="114">
        <f t="shared" si="2"/>
        <v>2025</v>
      </c>
      <c r="G11" s="28"/>
      <c r="H11" s="54"/>
    </row>
    <row r="12" spans="1:8" x14ac:dyDescent="0.25">
      <c r="A12" s="117" t="s">
        <v>173</v>
      </c>
      <c r="B12" s="135"/>
      <c r="C12" s="135"/>
      <c r="D12" s="135"/>
      <c r="E12" s="135"/>
      <c r="F12" s="135"/>
      <c r="G12" s="13"/>
      <c r="H12" s="120" t="s">
        <v>185</v>
      </c>
    </row>
    <row r="13" spans="1:8" x14ac:dyDescent="0.25">
      <c r="A13" s="117" t="s">
        <v>174</v>
      </c>
      <c r="B13" s="16"/>
      <c r="C13" s="16">
        <f>B12/H13</f>
        <v>0</v>
      </c>
      <c r="D13" s="16">
        <f>C13+(C12/H13)</f>
        <v>0</v>
      </c>
      <c r="E13" s="16">
        <f>D13+(D12/H13)</f>
        <v>0</v>
      </c>
      <c r="F13" s="16">
        <f>E13+(E12/H13)</f>
        <v>0</v>
      </c>
      <c r="G13" s="13"/>
      <c r="H13" s="139">
        <v>30</v>
      </c>
    </row>
    <row r="14" spans="1:8" x14ac:dyDescent="0.25">
      <c r="A14" s="117" t="s">
        <v>242</v>
      </c>
      <c r="B14" s="135"/>
      <c r="C14" s="135"/>
      <c r="D14" s="135"/>
      <c r="E14" s="135"/>
      <c r="F14" s="135"/>
      <c r="G14" s="13"/>
      <c r="H14" s="147" t="s">
        <v>198</v>
      </c>
    </row>
    <row r="15" spans="1:8" x14ac:dyDescent="0.25">
      <c r="A15" s="119" t="s">
        <v>189</v>
      </c>
      <c r="B15" s="115">
        <f>SUM(B13:B14)</f>
        <v>0</v>
      </c>
      <c r="C15" s="115">
        <f t="shared" ref="C15" si="3">SUM(C13:C14)</f>
        <v>0</v>
      </c>
      <c r="D15" s="115">
        <f t="shared" ref="D15" si="4">SUM(D13:D14)</f>
        <v>0</v>
      </c>
      <c r="E15" s="115">
        <f t="shared" ref="E15" si="5">SUM(E13:E14)</f>
        <v>0</v>
      </c>
      <c r="F15" s="115">
        <f t="shared" ref="F15" si="6">SUM(F13:F14)</f>
        <v>0</v>
      </c>
      <c r="G15" s="13"/>
      <c r="H15" s="149" t="s">
        <v>197</v>
      </c>
    </row>
    <row r="16" spans="1:8" x14ac:dyDescent="0.25">
      <c r="A16" s="37"/>
      <c r="B16" s="29"/>
      <c r="C16" s="29"/>
      <c r="D16" s="29"/>
      <c r="E16" s="29"/>
      <c r="F16" s="29"/>
      <c r="G16" s="13"/>
      <c r="H16" s="54"/>
    </row>
    <row r="17" spans="1:8" x14ac:dyDescent="0.25">
      <c r="A17" s="116" t="s">
        <v>187</v>
      </c>
      <c r="B17" s="114">
        <f>B11</f>
        <v>2021</v>
      </c>
      <c r="C17" s="114">
        <f t="shared" ref="C17:F17" si="7">C11</f>
        <v>2022</v>
      </c>
      <c r="D17" s="114">
        <f t="shared" si="7"/>
        <v>2023</v>
      </c>
      <c r="E17" s="114">
        <f t="shared" si="7"/>
        <v>2024</v>
      </c>
      <c r="F17" s="114">
        <f t="shared" si="7"/>
        <v>2025</v>
      </c>
      <c r="G17" s="28"/>
      <c r="H17" s="54"/>
    </row>
    <row r="18" spans="1:8" x14ac:dyDescent="0.25">
      <c r="A18" s="117" t="s">
        <v>173</v>
      </c>
      <c r="B18" s="135"/>
      <c r="C18" s="135"/>
      <c r="D18" s="135"/>
      <c r="E18" s="135"/>
      <c r="F18" s="135"/>
      <c r="G18" s="13"/>
      <c r="H18" s="120" t="s">
        <v>185</v>
      </c>
    </row>
    <row r="19" spans="1:8" x14ac:dyDescent="0.25">
      <c r="A19" s="117" t="s">
        <v>174</v>
      </c>
      <c r="B19" s="16"/>
      <c r="C19" s="16">
        <f>B18/H19</f>
        <v>0</v>
      </c>
      <c r="D19" s="16">
        <f>C19+(C18/H19)</f>
        <v>0</v>
      </c>
      <c r="E19" s="16">
        <f>D19+(D18/H19)</f>
        <v>0</v>
      </c>
      <c r="F19" s="16">
        <f>E19+(E18/H19)</f>
        <v>0</v>
      </c>
      <c r="G19" s="13"/>
      <c r="H19" s="139">
        <v>30</v>
      </c>
    </row>
    <row r="20" spans="1:8" x14ac:dyDescent="0.25">
      <c r="A20" s="117" t="s">
        <v>242</v>
      </c>
      <c r="B20" s="135"/>
      <c r="C20" s="135"/>
      <c r="D20" s="135"/>
      <c r="E20" s="135"/>
      <c r="F20" s="135"/>
      <c r="G20" s="13"/>
      <c r="H20" s="147" t="s">
        <v>198</v>
      </c>
    </row>
    <row r="21" spans="1:8" x14ac:dyDescent="0.25">
      <c r="A21" s="119" t="s">
        <v>189</v>
      </c>
      <c r="B21" s="115">
        <f>SUM(B19:B20)</f>
        <v>0</v>
      </c>
      <c r="C21" s="115">
        <f t="shared" ref="C21" si="8">SUM(C19:C20)</f>
        <v>0</v>
      </c>
      <c r="D21" s="115">
        <f t="shared" ref="D21" si="9">SUM(D19:D20)</f>
        <v>0</v>
      </c>
      <c r="E21" s="115">
        <f t="shared" ref="E21" si="10">SUM(E19:E20)</f>
        <v>0</v>
      </c>
      <c r="F21" s="115">
        <f t="shared" ref="F21" si="11">SUM(F19:F20)</f>
        <v>0</v>
      </c>
      <c r="G21" s="13"/>
      <c r="H21" s="149" t="s">
        <v>197</v>
      </c>
    </row>
    <row r="22" spans="1:8" ht="14.25" thickBot="1" x14ac:dyDescent="0.3">
      <c r="A22" s="41"/>
      <c r="B22" s="112"/>
      <c r="C22" s="112"/>
      <c r="D22" s="112"/>
      <c r="E22" s="112"/>
      <c r="F22" s="112"/>
      <c r="G22" s="42"/>
      <c r="H22" s="43"/>
    </row>
    <row r="23" spans="1:8" ht="4.5" customHeight="1" thickBot="1" x14ac:dyDescent="0.3">
      <c r="B23" s="3"/>
      <c r="C23" s="3"/>
      <c r="D23" s="3"/>
      <c r="E23" s="3"/>
      <c r="F23" s="3"/>
    </row>
    <row r="24" spans="1:8" ht="13.5" customHeight="1" x14ac:dyDescent="0.25">
      <c r="A24" s="143" t="s">
        <v>195</v>
      </c>
      <c r="B24" s="144">
        <f>B17</f>
        <v>2021</v>
      </c>
      <c r="C24" s="144">
        <f t="shared" ref="C24:F24" si="12">C17</f>
        <v>2022</v>
      </c>
      <c r="D24" s="144">
        <f t="shared" si="12"/>
        <v>2023</v>
      </c>
      <c r="E24" s="144">
        <f t="shared" si="12"/>
        <v>2024</v>
      </c>
      <c r="F24" s="144">
        <f t="shared" si="12"/>
        <v>2025</v>
      </c>
      <c r="G24" s="26"/>
      <c r="H24" s="142" t="s">
        <v>194</v>
      </c>
    </row>
    <row r="25" spans="1:8" ht="13.5" customHeight="1" thickBot="1" x14ac:dyDescent="0.3">
      <c r="A25" s="145" t="s">
        <v>196</v>
      </c>
      <c r="B25" s="146" t="e">
        <f>H25*AF!H34</f>
        <v>#VALUE!</v>
      </c>
      <c r="C25" s="146" t="e">
        <f>$H$25*B96</f>
        <v>#VALUE!</v>
      </c>
      <c r="D25" s="146" t="e">
        <f>$H$25*C96</f>
        <v>#VALUE!</v>
      </c>
      <c r="E25" s="146" t="e">
        <f>$H$25*D96</f>
        <v>#VALUE!</v>
      </c>
      <c r="F25" s="146" t="e">
        <f>$H$25*E96</f>
        <v>#VALUE!</v>
      </c>
      <c r="G25" s="42"/>
      <c r="H25" s="152">
        <v>0</v>
      </c>
    </row>
    <row r="26" spans="1:8" ht="4.5" customHeight="1" thickBot="1" x14ac:dyDescent="0.3">
      <c r="B26" s="3"/>
      <c r="C26" s="3"/>
      <c r="D26" s="3"/>
      <c r="E26" s="3"/>
      <c r="F26" s="3"/>
    </row>
    <row r="27" spans="1:8" x14ac:dyDescent="0.25">
      <c r="A27" s="123" t="s">
        <v>176</v>
      </c>
      <c r="B27" s="121"/>
      <c r="C27" s="121"/>
      <c r="D27" s="121"/>
      <c r="E27" s="121"/>
      <c r="F27" s="121"/>
      <c r="G27" s="111"/>
      <c r="H27" s="113"/>
    </row>
    <row r="28" spans="1:8" ht="4.5" customHeight="1" x14ac:dyDescent="0.25">
      <c r="A28" s="37"/>
      <c r="B28" s="29"/>
      <c r="C28" s="29"/>
      <c r="D28" s="29"/>
      <c r="E28" s="29"/>
      <c r="F28" s="29"/>
      <c r="G28" s="13"/>
      <c r="H28" s="54"/>
    </row>
    <row r="29" spans="1:8" x14ac:dyDescent="0.25">
      <c r="A29" s="116" t="s">
        <v>254</v>
      </c>
      <c r="B29" s="122">
        <f>B17</f>
        <v>2021</v>
      </c>
      <c r="C29" s="122">
        <f>C17</f>
        <v>2022</v>
      </c>
      <c r="D29" s="122">
        <f>D17</f>
        <v>2023</v>
      </c>
      <c r="E29" s="122">
        <f>E17</f>
        <v>2024</v>
      </c>
      <c r="F29" s="122">
        <f>F17</f>
        <v>2025</v>
      </c>
      <c r="G29" s="13"/>
      <c r="H29" s="118" t="s">
        <v>177</v>
      </c>
    </row>
    <row r="30" spans="1:8" x14ac:dyDescent="0.25">
      <c r="A30" s="117" t="s">
        <v>206</v>
      </c>
      <c r="B30" s="16">
        <f>Données!G4*(1+EP!H30)</f>
        <v>1069180</v>
      </c>
      <c r="C30" s="16">
        <f>(B32*(1+$H30))</f>
        <v>1069180</v>
      </c>
      <c r="D30" s="16">
        <f t="shared" ref="D30:F30" si="13">(C32*(1+$H30))</f>
        <v>1069180</v>
      </c>
      <c r="E30" s="16">
        <f t="shared" si="13"/>
        <v>1069180</v>
      </c>
      <c r="F30" s="16">
        <f t="shared" si="13"/>
        <v>1069180</v>
      </c>
      <c r="G30" s="13"/>
      <c r="H30" s="151">
        <v>0</v>
      </c>
    </row>
    <row r="31" spans="1:8" x14ac:dyDescent="0.25">
      <c r="A31" s="117" t="s">
        <v>192</v>
      </c>
      <c r="B31" s="135"/>
      <c r="C31" s="135"/>
      <c r="D31" s="135"/>
      <c r="E31" s="135"/>
      <c r="F31" s="135"/>
      <c r="G31" s="13"/>
      <c r="H31" s="54"/>
    </row>
    <row r="32" spans="1:8" x14ac:dyDescent="0.25">
      <c r="A32" s="119" t="s">
        <v>207</v>
      </c>
      <c r="B32" s="153">
        <f>IF(B31&lt;&gt;0,B31,B30)</f>
        <v>1069180</v>
      </c>
      <c r="C32" s="153">
        <f t="shared" ref="C32:F32" si="14">IF(C31&lt;&gt;0,C31,C30)</f>
        <v>1069180</v>
      </c>
      <c r="D32" s="153">
        <f>IF(D31&lt;&gt;0,D31,D30)</f>
        <v>1069180</v>
      </c>
      <c r="E32" s="153">
        <f t="shared" si="14"/>
        <v>1069180</v>
      </c>
      <c r="F32" s="153">
        <f t="shared" si="14"/>
        <v>1069180</v>
      </c>
      <c r="G32" s="13"/>
      <c r="H32" s="118" t="s">
        <v>177</v>
      </c>
    </row>
    <row r="33" spans="1:8" x14ac:dyDescent="0.25">
      <c r="A33" s="117" t="s">
        <v>208</v>
      </c>
      <c r="B33" s="16">
        <f>Données!G5*(1+EP!H33)</f>
        <v>1844470</v>
      </c>
      <c r="C33" s="16">
        <f>(B35*(1+$H33))</f>
        <v>1844470</v>
      </c>
      <c r="D33" s="16">
        <f t="shared" ref="D33:F33" si="15">(C35*(1+$H33))</f>
        <v>1844470</v>
      </c>
      <c r="E33" s="16">
        <f t="shared" si="15"/>
        <v>1844470</v>
      </c>
      <c r="F33" s="16">
        <f t="shared" si="15"/>
        <v>1844470</v>
      </c>
      <c r="G33" s="13"/>
      <c r="H33" s="151">
        <v>0</v>
      </c>
    </row>
    <row r="34" spans="1:8" x14ac:dyDescent="0.25">
      <c r="A34" s="117" t="s">
        <v>192</v>
      </c>
      <c r="B34" s="135"/>
      <c r="C34" s="135"/>
      <c r="D34" s="135"/>
      <c r="E34" s="135"/>
      <c r="F34" s="135"/>
      <c r="G34" s="13"/>
      <c r="H34" s="54"/>
    </row>
    <row r="35" spans="1:8" x14ac:dyDescent="0.25">
      <c r="A35" s="119" t="s">
        <v>209</v>
      </c>
      <c r="B35" s="153">
        <f>IF(B34&lt;&gt;0,B34,B33)</f>
        <v>1844470</v>
      </c>
      <c r="C35" s="153">
        <f>IF(C34&lt;&gt;0,C34,C33)</f>
        <v>1844470</v>
      </c>
      <c r="D35" s="153">
        <f>IF(D34&lt;&gt;0,D34,D33)</f>
        <v>1844470</v>
      </c>
      <c r="E35" s="153">
        <f t="shared" ref="E35" si="16">IF(E34&lt;&gt;0,E34,E33)</f>
        <v>1844470</v>
      </c>
      <c r="F35" s="153">
        <f t="shared" ref="F35" si="17">IF(F34&lt;&gt;0,F34,F33)</f>
        <v>1844470</v>
      </c>
      <c r="G35" s="13"/>
      <c r="H35" s="159"/>
    </row>
    <row r="36" spans="1:8" x14ac:dyDescent="0.25">
      <c r="A36" s="117" t="s">
        <v>210</v>
      </c>
      <c r="B36" s="16" t="e">
        <f>B25</f>
        <v>#VALUE!</v>
      </c>
      <c r="C36" s="16" t="e">
        <f>C25</f>
        <v>#VALUE!</v>
      </c>
      <c r="D36" s="16" t="e">
        <f t="shared" ref="D36:E36" si="18">D25</f>
        <v>#VALUE!</v>
      </c>
      <c r="E36" s="16" t="e">
        <f t="shared" si="18"/>
        <v>#VALUE!</v>
      </c>
      <c r="F36" s="16" t="e">
        <f>F25</f>
        <v>#VALUE!</v>
      </c>
      <c r="G36" s="13"/>
      <c r="H36" s="160"/>
    </row>
    <row r="37" spans="1:8" x14ac:dyDescent="0.25">
      <c r="A37" s="117" t="s">
        <v>212</v>
      </c>
      <c r="B37" s="135"/>
      <c r="C37" s="135"/>
      <c r="D37" s="135"/>
      <c r="E37" s="135"/>
      <c r="F37" s="135"/>
      <c r="G37" s="13"/>
      <c r="H37" s="54"/>
    </row>
    <row r="38" spans="1:8" x14ac:dyDescent="0.25">
      <c r="A38" s="119" t="s">
        <v>211</v>
      </c>
      <c r="B38" s="153" t="e">
        <f>B36+B37</f>
        <v>#VALUE!</v>
      </c>
      <c r="C38" s="153" t="e">
        <f t="shared" ref="C38:F38" si="19">C36+C37</f>
        <v>#VALUE!</v>
      </c>
      <c r="D38" s="153" t="e">
        <f t="shared" si="19"/>
        <v>#VALUE!</v>
      </c>
      <c r="E38" s="153" t="e">
        <f t="shared" si="19"/>
        <v>#VALUE!</v>
      </c>
      <c r="F38" s="153" t="e">
        <f t="shared" si="19"/>
        <v>#VALUE!</v>
      </c>
      <c r="G38" s="13"/>
      <c r="H38" s="54"/>
    </row>
    <row r="39" spans="1:8" x14ac:dyDescent="0.25">
      <c r="A39" s="117" t="s">
        <v>214</v>
      </c>
      <c r="B39" s="16">
        <f>AF!H17+AF!H18</f>
        <v>542695</v>
      </c>
      <c r="C39" s="16">
        <f>B39</f>
        <v>542695</v>
      </c>
      <c r="D39" s="16">
        <f>C39</f>
        <v>542695</v>
      </c>
      <c r="E39" s="16">
        <f t="shared" ref="E39:F39" si="20">D39</f>
        <v>542695</v>
      </c>
      <c r="F39" s="16">
        <f t="shared" si="20"/>
        <v>542695</v>
      </c>
      <c r="G39" s="13"/>
      <c r="H39" s="54"/>
    </row>
    <row r="40" spans="1:8" x14ac:dyDescent="0.25">
      <c r="A40" s="117" t="s">
        <v>212</v>
      </c>
      <c r="B40" s="135"/>
      <c r="C40" s="135"/>
      <c r="D40" s="135"/>
      <c r="E40" s="135"/>
      <c r="F40" s="135"/>
      <c r="G40" s="13"/>
      <c r="H40" s="54"/>
    </row>
    <row r="41" spans="1:8" x14ac:dyDescent="0.25">
      <c r="A41" s="117" t="s">
        <v>179</v>
      </c>
      <c r="B41" s="16">
        <f>IF($H$9="OUI",B7,0)+IF($H$15="OUI",B13,0)+IF($H$21="OUI",B19,0)</f>
        <v>0</v>
      </c>
      <c r="C41" s="16">
        <f t="shared" ref="C41:F41" si="21">IF($H$9="OUI",C7,0)+IF($H$15="OUI",C13,0)+IF($H$21="OUI",C19,0)</f>
        <v>0</v>
      </c>
      <c r="D41" s="16">
        <f t="shared" si="21"/>
        <v>0</v>
      </c>
      <c r="E41" s="16">
        <f t="shared" si="21"/>
        <v>0</v>
      </c>
      <c r="F41" s="16">
        <f t="shared" si="21"/>
        <v>0</v>
      </c>
      <c r="G41" s="13"/>
      <c r="H41" s="54"/>
    </row>
    <row r="42" spans="1:8" x14ac:dyDescent="0.25">
      <c r="A42" s="119" t="s">
        <v>213</v>
      </c>
      <c r="B42" s="153">
        <f>B39+B40+B41</f>
        <v>542695</v>
      </c>
      <c r="C42" s="153">
        <f t="shared" ref="C42:F42" si="22">C39+C40+C41</f>
        <v>542695</v>
      </c>
      <c r="D42" s="153">
        <f>D39+D40+D41</f>
        <v>542695</v>
      </c>
      <c r="E42" s="153">
        <f t="shared" si="22"/>
        <v>542695</v>
      </c>
      <c r="F42" s="153">
        <f t="shared" si="22"/>
        <v>542695</v>
      </c>
      <c r="G42" s="13"/>
      <c r="H42" s="118" t="s">
        <v>177</v>
      </c>
    </row>
    <row r="43" spans="1:8" x14ac:dyDescent="0.25">
      <c r="A43" s="117" t="s">
        <v>215</v>
      </c>
      <c r="B43" s="16">
        <f>Données!G14*(1+EP!H43)</f>
        <v>3110949</v>
      </c>
      <c r="C43" s="16">
        <f>(B45*(1+$H43))</f>
        <v>3110949</v>
      </c>
      <c r="D43" s="16">
        <f t="shared" ref="D43:F43" si="23">(C45*(1+$H43))</f>
        <v>3110949</v>
      </c>
      <c r="E43" s="16">
        <f t="shared" si="23"/>
        <v>3110949</v>
      </c>
      <c r="F43" s="16">
        <f t="shared" si="23"/>
        <v>3110949</v>
      </c>
      <c r="G43" s="13"/>
      <c r="H43" s="151">
        <v>0</v>
      </c>
    </row>
    <row r="44" spans="1:8" x14ac:dyDescent="0.25">
      <c r="A44" s="117" t="s">
        <v>192</v>
      </c>
      <c r="B44" s="135"/>
      <c r="C44" s="135"/>
      <c r="D44" s="135"/>
      <c r="E44" s="135"/>
      <c r="F44" s="135"/>
      <c r="G44" s="13"/>
      <c r="H44" s="54"/>
    </row>
    <row r="45" spans="1:8" x14ac:dyDescent="0.25">
      <c r="A45" s="119" t="s">
        <v>218</v>
      </c>
      <c r="B45" s="153">
        <f>IF(B44&lt;&gt;0,B44,B43)</f>
        <v>3110949</v>
      </c>
      <c r="C45" s="153">
        <f>IF(C44&lt;&gt;0,C44,C43)</f>
        <v>3110949</v>
      </c>
      <c r="D45" s="153">
        <f>IF(D44&lt;&gt;0,D44,D43)</f>
        <v>3110949</v>
      </c>
      <c r="E45" s="153">
        <f t="shared" ref="E45" si="24">IF(E44&lt;&gt;0,E44,E43)</f>
        <v>3110949</v>
      </c>
      <c r="F45" s="153">
        <f t="shared" ref="F45" si="25">IF(F44&lt;&gt;0,F44,F43)</f>
        <v>3110949</v>
      </c>
      <c r="G45" s="13"/>
      <c r="H45" s="118" t="s">
        <v>177</v>
      </c>
    </row>
    <row r="46" spans="1:8" x14ac:dyDescent="0.25">
      <c r="A46" s="117" t="s">
        <v>216</v>
      </c>
      <c r="B46" s="16">
        <f>Données!G15*(1+EP!H46)</f>
        <v>9300</v>
      </c>
      <c r="C46" s="16">
        <f>(B48*(1+$H46))</f>
        <v>9300</v>
      </c>
      <c r="D46" s="16">
        <f t="shared" ref="D46:F46" si="26">(C48*(1+$H46))</f>
        <v>9300</v>
      </c>
      <c r="E46" s="16">
        <f t="shared" si="26"/>
        <v>9300</v>
      </c>
      <c r="F46" s="16">
        <f t="shared" si="26"/>
        <v>9300</v>
      </c>
      <c r="G46" s="13"/>
      <c r="H46" s="151">
        <v>0</v>
      </c>
    </row>
    <row r="47" spans="1:8" x14ac:dyDescent="0.25">
      <c r="A47" s="117" t="s">
        <v>192</v>
      </c>
      <c r="B47" s="135"/>
      <c r="C47" s="135"/>
      <c r="D47" s="135"/>
      <c r="E47" s="135"/>
      <c r="F47" s="135"/>
      <c r="G47" s="13"/>
      <c r="H47" s="54"/>
    </row>
    <row r="48" spans="1:8" x14ac:dyDescent="0.25">
      <c r="A48" s="119" t="s">
        <v>217</v>
      </c>
      <c r="B48" s="153">
        <f>IF(B47&lt;&gt;0,B47,B46)</f>
        <v>9300</v>
      </c>
      <c r="C48" s="153">
        <f>IF(C47&lt;&gt;0,C47,C46)</f>
        <v>9300</v>
      </c>
      <c r="D48" s="153">
        <f>IF(D47&lt;&gt;0,D47,D46)</f>
        <v>9300</v>
      </c>
      <c r="E48" s="153">
        <f t="shared" ref="E48" si="27">IF(E47&lt;&gt;0,E47,E46)</f>
        <v>9300</v>
      </c>
      <c r="F48" s="153">
        <f t="shared" ref="F48" si="28">IF(F47&lt;&gt;0,F47,F46)</f>
        <v>9300</v>
      </c>
      <c r="G48" s="13"/>
      <c r="H48" s="54"/>
    </row>
    <row r="49" spans="1:8" x14ac:dyDescent="0.25">
      <c r="A49" s="156" t="s">
        <v>222</v>
      </c>
      <c r="B49" s="154">
        <f>IF(SUM(Données!C17:G17)=0,0,AVERAGE(Données!C17:G17))</f>
        <v>0</v>
      </c>
      <c r="C49" s="154">
        <f>B49</f>
        <v>0</v>
      </c>
      <c r="D49" s="154">
        <f t="shared" ref="D49:F49" si="29">C49</f>
        <v>0</v>
      </c>
      <c r="E49" s="154">
        <f t="shared" si="29"/>
        <v>0</v>
      </c>
      <c r="F49" s="154">
        <f t="shared" si="29"/>
        <v>0</v>
      </c>
      <c r="G49" s="13"/>
      <c r="H49" s="54"/>
    </row>
    <row r="50" spans="1:8" x14ac:dyDescent="0.25">
      <c r="A50" s="117" t="s">
        <v>212</v>
      </c>
      <c r="B50" s="135"/>
      <c r="C50" s="135"/>
      <c r="D50" s="135"/>
      <c r="E50" s="135"/>
      <c r="F50" s="135"/>
      <c r="G50" s="13"/>
      <c r="H50" s="54"/>
    </row>
    <row r="51" spans="1:8" x14ac:dyDescent="0.25">
      <c r="A51" s="119" t="s">
        <v>223</v>
      </c>
      <c r="B51" s="153">
        <f>B49+B50</f>
        <v>0</v>
      </c>
      <c r="C51" s="153">
        <f t="shared" ref="C51:F51" si="30">C49+C50</f>
        <v>0</v>
      </c>
      <c r="D51" s="153">
        <f t="shared" si="30"/>
        <v>0</v>
      </c>
      <c r="E51" s="153">
        <f t="shared" si="30"/>
        <v>0</v>
      </c>
      <c r="F51" s="153">
        <f t="shared" si="30"/>
        <v>0</v>
      </c>
      <c r="G51" s="13"/>
      <c r="H51" s="54"/>
    </row>
    <row r="52" spans="1:8" x14ac:dyDescent="0.25">
      <c r="A52" s="119" t="s">
        <v>236</v>
      </c>
      <c r="B52" s="153">
        <f>IF($H$9="OUI",IF(B8&gt;0,B8,0),0)+IF($H$15="OUI",IF(B14&gt;0,B14,0),0)+IF($H$21="OUI",IF(B20&gt;0,B20,0),0)</f>
        <v>0</v>
      </c>
      <c r="C52" s="153">
        <f t="shared" ref="C52:F52" si="31">IF($H$9="OUI",IF(C8&gt;0,C8,0),0)+IF($H$15="OUI",IF(C14&gt;0,C14,0),0)+IF($H$21="OUI",IF(C20&gt;0,C20,0),0)</f>
        <v>0</v>
      </c>
      <c r="D52" s="153">
        <f t="shared" si="31"/>
        <v>0</v>
      </c>
      <c r="E52" s="153">
        <f t="shared" si="31"/>
        <v>0</v>
      </c>
      <c r="F52" s="153">
        <f t="shared" si="31"/>
        <v>0</v>
      </c>
      <c r="G52" s="13"/>
      <c r="H52" s="54"/>
    </row>
    <row r="53" spans="1:8" x14ac:dyDescent="0.25">
      <c r="A53" s="157" t="s">
        <v>219</v>
      </c>
      <c r="B53" s="158" t="e">
        <f>B32+B35+B38+B42+B45+B48+B51+B52</f>
        <v>#VALUE!</v>
      </c>
      <c r="C53" s="158" t="e">
        <f t="shared" ref="C53:F53" si="32">C32+C35+C38+C42+C45+C48+C51+C52</f>
        <v>#VALUE!</v>
      </c>
      <c r="D53" s="158" t="e">
        <f>D32+D35+D38+D42+D45+D48+D51+D52</f>
        <v>#VALUE!</v>
      </c>
      <c r="E53" s="158" t="e">
        <f t="shared" si="32"/>
        <v>#VALUE!</v>
      </c>
      <c r="F53" s="158" t="e">
        <f t="shared" si="32"/>
        <v>#VALUE!</v>
      </c>
      <c r="G53" s="13"/>
      <c r="H53" s="54"/>
    </row>
    <row r="54" spans="1:8" ht="4.5" customHeight="1" x14ac:dyDescent="0.25">
      <c r="A54" s="37"/>
      <c r="B54" s="29"/>
      <c r="C54" s="29"/>
      <c r="D54" s="29"/>
      <c r="E54" s="29"/>
      <c r="F54" s="29"/>
      <c r="G54" s="13"/>
      <c r="H54" s="54"/>
    </row>
    <row r="55" spans="1:8" x14ac:dyDescent="0.25">
      <c r="A55" s="116" t="s">
        <v>257</v>
      </c>
      <c r="B55" s="122">
        <f>B29</f>
        <v>2021</v>
      </c>
      <c r="C55" s="122">
        <f>C29</f>
        <v>2022</v>
      </c>
      <c r="D55" s="122">
        <f>D29</f>
        <v>2023</v>
      </c>
      <c r="E55" s="122">
        <f>E29</f>
        <v>2024</v>
      </c>
      <c r="F55" s="122">
        <f>F29</f>
        <v>2025</v>
      </c>
      <c r="G55" s="13"/>
      <c r="H55" s="118" t="s">
        <v>177</v>
      </c>
    </row>
    <row r="56" spans="1:8" x14ac:dyDescent="0.25">
      <c r="A56" s="117" t="s">
        <v>221</v>
      </c>
      <c r="B56" s="16">
        <f>Données!G22*(1+EP!H56)</f>
        <v>4503000</v>
      </c>
      <c r="C56" s="16">
        <f>B58*(1+$H56)</f>
        <v>4503000</v>
      </c>
      <c r="D56" s="16">
        <f t="shared" ref="D56:E56" si="33">C58*(1+$H56)</f>
        <v>4503000</v>
      </c>
      <c r="E56" s="16">
        <f t="shared" si="33"/>
        <v>4503000</v>
      </c>
      <c r="F56" s="16">
        <f>E58*(1+$H56)</f>
        <v>4503000</v>
      </c>
      <c r="G56" s="13"/>
      <c r="H56" s="151">
        <v>0</v>
      </c>
    </row>
    <row r="57" spans="1:8" x14ac:dyDescent="0.25">
      <c r="A57" s="117" t="s">
        <v>192</v>
      </c>
      <c r="B57" s="135"/>
      <c r="C57" s="135"/>
      <c r="D57" s="135"/>
      <c r="E57" s="135"/>
      <c r="F57" s="135"/>
      <c r="G57" s="13"/>
      <c r="H57" s="54"/>
    </row>
    <row r="58" spans="1:8" x14ac:dyDescent="0.25">
      <c r="A58" s="155" t="s">
        <v>220</v>
      </c>
      <c r="B58" s="153">
        <f>IF(B57&lt;&gt;0,B57,B56)</f>
        <v>4503000</v>
      </c>
      <c r="C58" s="153">
        <f>IF(C57&lt;&gt;0,C57,C56)</f>
        <v>4503000</v>
      </c>
      <c r="D58" s="153">
        <f t="shared" ref="D58:F58" si="34">IF(D57&lt;&gt;0,D57,D56)</f>
        <v>4503000</v>
      </c>
      <c r="E58" s="153">
        <f t="shared" si="34"/>
        <v>4503000</v>
      </c>
      <c r="F58" s="153">
        <f t="shared" si="34"/>
        <v>4503000</v>
      </c>
      <c r="G58" s="13"/>
      <c r="H58" s="118" t="s">
        <v>177</v>
      </c>
    </row>
    <row r="59" spans="1:8" x14ac:dyDescent="0.25">
      <c r="A59" s="117" t="s">
        <v>224</v>
      </c>
      <c r="B59" s="16">
        <f>Données!G25*(1+EP!H59)</f>
        <v>0</v>
      </c>
      <c r="C59" s="16">
        <f>B61*(1+$H59)</f>
        <v>0</v>
      </c>
      <c r="D59" s="16">
        <f t="shared" ref="D59:F59" si="35">C61*(1+$H59)</f>
        <v>0</v>
      </c>
      <c r="E59" s="16">
        <f t="shared" si="35"/>
        <v>0</v>
      </c>
      <c r="F59" s="16">
        <f t="shared" si="35"/>
        <v>0</v>
      </c>
      <c r="G59" s="13"/>
      <c r="H59" s="151">
        <v>0</v>
      </c>
    </row>
    <row r="60" spans="1:8" x14ac:dyDescent="0.25">
      <c r="A60" s="117" t="s">
        <v>192</v>
      </c>
      <c r="B60" s="135"/>
      <c r="C60" s="135"/>
      <c r="D60" s="135"/>
      <c r="E60" s="135"/>
      <c r="F60" s="135"/>
      <c r="G60" s="13"/>
      <c r="H60" s="54"/>
    </row>
    <row r="61" spans="1:8" x14ac:dyDescent="0.25">
      <c r="A61" s="155" t="s">
        <v>225</v>
      </c>
      <c r="B61" s="153">
        <f>IF(B60&lt;&gt;0,B60,B59)</f>
        <v>0</v>
      </c>
      <c r="C61" s="153">
        <f>IF(C60&lt;&gt;0,C60,C59)</f>
        <v>0</v>
      </c>
      <c r="D61" s="153">
        <f t="shared" ref="D61" si="36">IF(D60&lt;&gt;0,D60,D59)</f>
        <v>0</v>
      </c>
      <c r="E61" s="153">
        <f t="shared" ref="E61" si="37">IF(E60&lt;&gt;0,E60,E59)</f>
        <v>0</v>
      </c>
      <c r="F61" s="153">
        <f t="shared" ref="F61" si="38">IF(F60&lt;&gt;0,F60,F59)</f>
        <v>0</v>
      </c>
      <c r="G61" s="13"/>
      <c r="H61" s="118" t="s">
        <v>177</v>
      </c>
    </row>
    <row r="62" spans="1:8" x14ac:dyDescent="0.25">
      <c r="A62" s="117" t="s">
        <v>226</v>
      </c>
      <c r="B62" s="16">
        <f>(Données!G26-Données!G27)*(1+EP!H62)</f>
        <v>230667</v>
      </c>
      <c r="C62" s="16">
        <f>B64*(1+$H62)</f>
        <v>230667</v>
      </c>
      <c r="D62" s="16">
        <f t="shared" ref="D62:F62" si="39">C64*(1+$H62)</f>
        <v>230667</v>
      </c>
      <c r="E62" s="16">
        <f t="shared" si="39"/>
        <v>230667</v>
      </c>
      <c r="F62" s="16">
        <f t="shared" si="39"/>
        <v>230667</v>
      </c>
      <c r="G62" s="13"/>
      <c r="H62" s="151">
        <v>0</v>
      </c>
    </row>
    <row r="63" spans="1:8" x14ac:dyDescent="0.25">
      <c r="A63" s="117" t="s">
        <v>192</v>
      </c>
      <c r="B63" s="135"/>
      <c r="C63" s="135"/>
      <c r="D63" s="135"/>
      <c r="E63" s="135"/>
      <c r="F63" s="135"/>
      <c r="G63" s="13"/>
      <c r="H63" s="54"/>
    </row>
    <row r="64" spans="1:8" x14ac:dyDescent="0.25">
      <c r="A64" s="155" t="s">
        <v>227</v>
      </c>
      <c r="B64" s="153">
        <f>IF(B63&lt;&gt;0,B63,B62)</f>
        <v>230667</v>
      </c>
      <c r="C64" s="153">
        <f>IF(C63&lt;&gt;0,C63,C62)</f>
        <v>230667</v>
      </c>
      <c r="D64" s="153">
        <f t="shared" ref="D64" si="40">IF(D63&lt;&gt;0,D63,D62)</f>
        <v>230667</v>
      </c>
      <c r="E64" s="153">
        <f t="shared" ref="E64" si="41">IF(E63&lt;&gt;0,E63,E62)</f>
        <v>230667</v>
      </c>
      <c r="F64" s="153">
        <f t="shared" ref="F64" si="42">IF(F63&lt;&gt;0,F63,F62)</f>
        <v>230667</v>
      </c>
      <c r="G64" s="13"/>
      <c r="H64" s="118" t="s">
        <v>177</v>
      </c>
    </row>
    <row r="65" spans="1:8" x14ac:dyDescent="0.25">
      <c r="A65" s="117" t="s">
        <v>228</v>
      </c>
      <c r="B65" s="16">
        <f>Données!G28*(1+EP!H65)</f>
        <v>1123418</v>
      </c>
      <c r="C65" s="16">
        <f>B67*(1+$H65)</f>
        <v>1123418</v>
      </c>
      <c r="D65" s="16">
        <f t="shared" ref="D65:F65" si="43">C67*(1+$H65)</f>
        <v>1123418</v>
      </c>
      <c r="E65" s="16">
        <f t="shared" si="43"/>
        <v>1123418</v>
      </c>
      <c r="F65" s="16">
        <f t="shared" si="43"/>
        <v>1123418</v>
      </c>
      <c r="G65" s="13"/>
      <c r="H65" s="151">
        <v>0</v>
      </c>
    </row>
    <row r="66" spans="1:8" x14ac:dyDescent="0.25">
      <c r="A66" s="117" t="s">
        <v>192</v>
      </c>
      <c r="B66" s="135"/>
      <c r="C66" s="135"/>
      <c r="D66" s="135"/>
      <c r="E66" s="135"/>
      <c r="F66" s="135"/>
      <c r="G66" s="13"/>
      <c r="H66" s="54"/>
    </row>
    <row r="67" spans="1:8" x14ac:dyDescent="0.25">
      <c r="A67" s="155" t="s">
        <v>229</v>
      </c>
      <c r="B67" s="153">
        <f>IF(B66&lt;&gt;0,B66,B65)</f>
        <v>1123418</v>
      </c>
      <c r="C67" s="153">
        <f>IF(C66&lt;&gt;0,C66,C65)</f>
        <v>1123418</v>
      </c>
      <c r="D67" s="153">
        <f t="shared" ref="D67" si="44">IF(D66&lt;&gt;0,D66,D65)</f>
        <v>1123418</v>
      </c>
      <c r="E67" s="153">
        <f>IF(E66&lt;&gt;0,E66,E65)</f>
        <v>1123418</v>
      </c>
      <c r="F67" s="153">
        <f t="shared" ref="F67" si="45">IF(F66&lt;&gt;0,F66,F65)</f>
        <v>1123418</v>
      </c>
      <c r="G67" s="13"/>
      <c r="H67" s="118" t="s">
        <v>177</v>
      </c>
    </row>
    <row r="68" spans="1:8" x14ac:dyDescent="0.25">
      <c r="A68" s="117" t="s">
        <v>230</v>
      </c>
      <c r="B68" s="16">
        <f>Données!G29*(1+EP!H68)</f>
        <v>75000</v>
      </c>
      <c r="C68" s="16">
        <f>B70*(1+$H68)</f>
        <v>75000</v>
      </c>
      <c r="D68" s="16">
        <f t="shared" ref="D68:F68" si="46">C70*(1+$H68)</f>
        <v>75000</v>
      </c>
      <c r="E68" s="16">
        <f t="shared" si="46"/>
        <v>75000</v>
      </c>
      <c r="F68" s="16">
        <f t="shared" si="46"/>
        <v>75000</v>
      </c>
      <c r="G68" s="13"/>
      <c r="H68" s="151">
        <v>0</v>
      </c>
    </row>
    <row r="69" spans="1:8" x14ac:dyDescent="0.25">
      <c r="A69" s="117" t="s">
        <v>192</v>
      </c>
      <c r="B69" s="135"/>
      <c r="C69" s="135"/>
      <c r="D69" s="135"/>
      <c r="E69" s="135"/>
      <c r="F69" s="135"/>
      <c r="G69" s="13"/>
      <c r="H69" s="54"/>
    </row>
    <row r="70" spans="1:8" x14ac:dyDescent="0.25">
      <c r="A70" s="155" t="s">
        <v>231</v>
      </c>
      <c r="B70" s="153">
        <f>IF(B69&lt;&gt;0,B69,B68)</f>
        <v>75000</v>
      </c>
      <c r="C70" s="153">
        <f>IF(C69&lt;&gt;0,C69,C68)</f>
        <v>75000</v>
      </c>
      <c r="D70" s="153">
        <f t="shared" ref="D70" si="47">IF(D69&lt;&gt;0,D69,D68)</f>
        <v>75000</v>
      </c>
      <c r="E70" s="153">
        <f t="shared" ref="E70" si="48">IF(E69&lt;&gt;0,E69,E68)</f>
        <v>75000</v>
      </c>
      <c r="F70" s="153">
        <f t="shared" ref="F70" si="49">IF(F69&lt;&gt;0,F69,F68)</f>
        <v>75000</v>
      </c>
      <c r="G70" s="13"/>
      <c r="H70" s="118" t="s">
        <v>177</v>
      </c>
    </row>
    <row r="71" spans="1:8" x14ac:dyDescent="0.25">
      <c r="A71" s="117" t="s">
        <v>232</v>
      </c>
      <c r="B71" s="16">
        <f>Données!G30*(1+EP!H71)</f>
        <v>596559</v>
      </c>
      <c r="C71" s="16">
        <f>B73*(1+$H71)</f>
        <v>596559</v>
      </c>
      <c r="D71" s="16">
        <f t="shared" ref="D71:F71" si="50">C73*(1+$H71)</f>
        <v>596559</v>
      </c>
      <c r="E71" s="16">
        <f t="shared" si="50"/>
        <v>596559</v>
      </c>
      <c r="F71" s="16">
        <f t="shared" si="50"/>
        <v>596559</v>
      </c>
      <c r="G71" s="13"/>
      <c r="H71" s="151">
        <v>0</v>
      </c>
    </row>
    <row r="72" spans="1:8" x14ac:dyDescent="0.25">
      <c r="A72" s="117" t="s">
        <v>192</v>
      </c>
      <c r="B72" s="135"/>
      <c r="C72" s="135"/>
      <c r="D72" s="135"/>
      <c r="E72" s="135"/>
      <c r="F72" s="135"/>
      <c r="G72" s="13"/>
      <c r="H72" s="54"/>
    </row>
    <row r="73" spans="1:8" x14ac:dyDescent="0.25">
      <c r="A73" s="155" t="s">
        <v>233</v>
      </c>
      <c r="B73" s="153">
        <f>IF(B72&lt;&gt;0,B72,B71)</f>
        <v>596559</v>
      </c>
      <c r="C73" s="153">
        <f>IF(C72&lt;&gt;0,C72,C71)</f>
        <v>596559</v>
      </c>
      <c r="D73" s="153">
        <f t="shared" ref="D73" si="51">IF(D72&lt;&gt;0,D72,D71)</f>
        <v>596559</v>
      </c>
      <c r="E73" s="153">
        <f t="shared" ref="E73" si="52">IF(E72&lt;&gt;0,E72,E71)</f>
        <v>596559</v>
      </c>
      <c r="F73" s="153">
        <f t="shared" ref="F73" si="53">IF(F72&lt;&gt;0,F72,F71)</f>
        <v>596559</v>
      </c>
      <c r="G73" s="13"/>
      <c r="H73" s="118" t="s">
        <v>177</v>
      </c>
    </row>
    <row r="74" spans="1:8" x14ac:dyDescent="0.25">
      <c r="A74" s="117" t="s">
        <v>252</v>
      </c>
      <c r="B74" s="16">
        <f>Données!G31*(1+EP!H74)</f>
        <v>11080</v>
      </c>
      <c r="C74" s="16">
        <f>B76*(1+$H74)</f>
        <v>11080</v>
      </c>
      <c r="D74" s="16">
        <f t="shared" ref="D74:F74" si="54">C76*(1+$H74)</f>
        <v>11080</v>
      </c>
      <c r="E74" s="16">
        <f t="shared" si="54"/>
        <v>11080</v>
      </c>
      <c r="F74" s="16">
        <f t="shared" si="54"/>
        <v>11080</v>
      </c>
      <c r="G74" s="13"/>
      <c r="H74" s="151">
        <v>0</v>
      </c>
    </row>
    <row r="75" spans="1:8" x14ac:dyDescent="0.25">
      <c r="A75" s="117" t="s">
        <v>192</v>
      </c>
      <c r="B75" s="135"/>
      <c r="C75" s="135"/>
      <c r="D75" s="135"/>
      <c r="E75" s="135"/>
      <c r="F75" s="135"/>
      <c r="G75" s="13"/>
      <c r="H75" s="54"/>
    </row>
    <row r="76" spans="1:8" x14ac:dyDescent="0.25">
      <c r="A76" s="155" t="s">
        <v>253</v>
      </c>
      <c r="B76" s="153">
        <f>IF(B75&lt;&gt;0,B75,B74)</f>
        <v>11080</v>
      </c>
      <c r="C76" s="153">
        <f>IF(C75&lt;&gt;0,C75,C74)</f>
        <v>11080</v>
      </c>
      <c r="D76" s="153">
        <f t="shared" ref="D76" si="55">IF(D75&lt;&gt;0,D75,D74)</f>
        <v>11080</v>
      </c>
      <c r="E76" s="153">
        <f t="shared" ref="E76" si="56">IF(E75&lt;&gt;0,E75,E74)</f>
        <v>11080</v>
      </c>
      <c r="F76" s="153">
        <f t="shared" ref="F76" si="57">IF(F75&lt;&gt;0,F75,F74)</f>
        <v>11080</v>
      </c>
      <c r="G76" s="13"/>
      <c r="H76" s="54"/>
    </row>
    <row r="77" spans="1:8" x14ac:dyDescent="0.25">
      <c r="A77" s="156" t="s">
        <v>234</v>
      </c>
      <c r="B77" s="154">
        <f>IF(SUM(Données!C33:G33)=0,0,AVERAGE(Données!C33:G33))</f>
        <v>0</v>
      </c>
      <c r="C77" s="154">
        <f>B77</f>
        <v>0</v>
      </c>
      <c r="D77" s="154">
        <f t="shared" ref="D77:F77" si="58">C77</f>
        <v>0</v>
      </c>
      <c r="E77" s="154">
        <f t="shared" si="58"/>
        <v>0</v>
      </c>
      <c r="F77" s="154">
        <f t="shared" si="58"/>
        <v>0</v>
      </c>
      <c r="G77" s="13"/>
      <c r="H77" s="54"/>
    </row>
    <row r="78" spans="1:8" x14ac:dyDescent="0.25">
      <c r="A78" s="117" t="s">
        <v>212</v>
      </c>
      <c r="B78" s="135"/>
      <c r="C78" s="135"/>
      <c r="D78" s="135"/>
      <c r="E78" s="135"/>
      <c r="F78" s="135"/>
      <c r="G78" s="13"/>
      <c r="H78" s="54"/>
    </row>
    <row r="79" spans="1:8" x14ac:dyDescent="0.25">
      <c r="A79" s="119" t="s">
        <v>223</v>
      </c>
      <c r="B79" s="153">
        <f>B77+B78</f>
        <v>0</v>
      </c>
      <c r="C79" s="153">
        <f t="shared" ref="C79" si="59">C77+C78</f>
        <v>0</v>
      </c>
      <c r="D79" s="153">
        <f t="shared" ref="D79" si="60">D77+D78</f>
        <v>0</v>
      </c>
      <c r="E79" s="153">
        <f t="shared" ref="E79" si="61">E77+E78</f>
        <v>0</v>
      </c>
      <c r="F79" s="153">
        <f t="shared" ref="F79" si="62">F77+F78</f>
        <v>0</v>
      </c>
      <c r="G79" s="13"/>
      <c r="H79" s="54"/>
    </row>
    <row r="80" spans="1:8" x14ac:dyDescent="0.25">
      <c r="A80" s="119" t="s">
        <v>241</v>
      </c>
      <c r="B80" s="153">
        <f>IF($H$9="OUI",IF(B8&lt;0,B8,0),0)+IF($H$15="OUI",IF(B14&lt;0,B14,0),0)+IF($H$21="OUI",IF(B20&lt;B350,B20,0),0)</f>
        <v>0</v>
      </c>
      <c r="C80" s="153">
        <f t="shared" ref="C80:F80" si="63">IF($H$9="OUI",IF(C8&lt;0,C8,0),0)+IF($H$15="OUI",IF(C14&lt;0,C14,0),0)+IF($H$21="OUI",IF(C20&lt;C350,C20,0),0)</f>
        <v>0</v>
      </c>
      <c r="D80" s="153">
        <f t="shared" si="63"/>
        <v>0</v>
      </c>
      <c r="E80" s="153">
        <f t="shared" si="63"/>
        <v>0</v>
      </c>
      <c r="F80" s="153">
        <f t="shared" si="63"/>
        <v>0</v>
      </c>
      <c r="G80" s="13"/>
      <c r="H80" s="54"/>
    </row>
    <row r="81" spans="1:8" x14ac:dyDescent="0.25">
      <c r="A81" s="157" t="s">
        <v>235</v>
      </c>
      <c r="B81" s="158">
        <f>B58+B61+B64+B67+B70+B73+B76+B79+B80</f>
        <v>6539724</v>
      </c>
      <c r="C81" s="158">
        <f t="shared" ref="C81:F81" si="64">C58+C61+C64+C67+C70+C73+C76+C79+C80</f>
        <v>6539724</v>
      </c>
      <c r="D81" s="158">
        <f t="shared" si="64"/>
        <v>6539724</v>
      </c>
      <c r="E81" s="158">
        <f t="shared" si="64"/>
        <v>6539724</v>
      </c>
      <c r="F81" s="158">
        <f t="shared" si="64"/>
        <v>6539724</v>
      </c>
      <c r="G81" s="13"/>
      <c r="H81" s="54"/>
    </row>
    <row r="82" spans="1:8" ht="14.25" thickBot="1" x14ac:dyDescent="0.3">
      <c r="A82" s="41"/>
      <c r="B82" s="112"/>
      <c r="C82" s="112"/>
      <c r="D82" s="112"/>
      <c r="E82" s="112"/>
      <c r="F82" s="112"/>
      <c r="G82" s="42"/>
      <c r="H82" s="43"/>
    </row>
    <row r="83" spans="1:8" ht="4.5" customHeight="1" thickBot="1" x14ac:dyDescent="0.3">
      <c r="B83" s="3"/>
      <c r="C83" s="3"/>
      <c r="D83" s="3"/>
      <c r="E83" s="3"/>
      <c r="F83" s="3"/>
    </row>
    <row r="84" spans="1:8" x14ac:dyDescent="0.25">
      <c r="A84" s="123" t="s">
        <v>67</v>
      </c>
      <c r="B84" s="121"/>
      <c r="C84" s="121"/>
      <c r="D84" s="121"/>
      <c r="E84" s="121"/>
      <c r="F84" s="121"/>
      <c r="G84" s="111"/>
      <c r="H84" s="113"/>
    </row>
    <row r="85" spans="1:8" ht="4.5" customHeight="1" x14ac:dyDescent="0.25">
      <c r="A85" s="37"/>
      <c r="B85" s="29"/>
      <c r="C85" s="29"/>
      <c r="D85" s="29"/>
      <c r="E85" s="29"/>
      <c r="F85" s="29"/>
      <c r="G85" s="13"/>
      <c r="H85" s="54"/>
    </row>
    <row r="86" spans="1:8" x14ac:dyDescent="0.25">
      <c r="A86" s="116" t="s">
        <v>29</v>
      </c>
      <c r="B86" s="122">
        <f>B55</f>
        <v>2021</v>
      </c>
      <c r="C86" s="122">
        <f>C55</f>
        <v>2022</v>
      </c>
      <c r="D86" s="122">
        <f>D55</f>
        <v>2023</v>
      </c>
      <c r="E86" s="122">
        <f>E55</f>
        <v>2024</v>
      </c>
      <c r="F86" s="122">
        <f>F55</f>
        <v>2025</v>
      </c>
      <c r="G86" s="13"/>
      <c r="H86" s="54"/>
    </row>
    <row r="87" spans="1:8" x14ac:dyDescent="0.25">
      <c r="A87" s="117" t="s">
        <v>258</v>
      </c>
      <c r="B87" s="16" t="e">
        <f>B53</f>
        <v>#VALUE!</v>
      </c>
      <c r="C87" s="16" t="e">
        <f>C53</f>
        <v>#VALUE!</v>
      </c>
      <c r="D87" s="16" t="e">
        <f>D53</f>
        <v>#VALUE!</v>
      </c>
      <c r="E87" s="16" t="e">
        <f>E53</f>
        <v>#VALUE!</v>
      </c>
      <c r="F87" s="16" t="e">
        <f>F53</f>
        <v>#VALUE!</v>
      </c>
      <c r="G87" s="13"/>
      <c r="H87" s="54"/>
    </row>
    <row r="88" spans="1:8" x14ac:dyDescent="0.25">
      <c r="A88" s="117" t="s">
        <v>259</v>
      </c>
      <c r="B88" s="16">
        <f>B81</f>
        <v>6539724</v>
      </c>
      <c r="C88" s="16">
        <f t="shared" ref="C88:F88" si="65">C81</f>
        <v>6539724</v>
      </c>
      <c r="D88" s="16">
        <f t="shared" si="65"/>
        <v>6539724</v>
      </c>
      <c r="E88" s="16">
        <f t="shared" si="65"/>
        <v>6539724</v>
      </c>
      <c r="F88" s="16">
        <f t="shared" si="65"/>
        <v>6539724</v>
      </c>
      <c r="G88" s="13"/>
      <c r="H88" s="54"/>
    </row>
    <row r="89" spans="1:8" x14ac:dyDescent="0.25">
      <c r="A89" s="119" t="s">
        <v>161</v>
      </c>
      <c r="B89" s="115" t="e">
        <f>B88-B87</f>
        <v>#VALUE!</v>
      </c>
      <c r="C89" s="115" t="e">
        <f t="shared" ref="C89:F89" si="66">C88-C87</f>
        <v>#VALUE!</v>
      </c>
      <c r="D89" s="115" t="e">
        <f t="shared" si="66"/>
        <v>#VALUE!</v>
      </c>
      <c r="E89" s="115" t="e">
        <f t="shared" si="66"/>
        <v>#VALUE!</v>
      </c>
      <c r="F89" s="115" t="e">
        <f t="shared" si="66"/>
        <v>#VALUE!</v>
      </c>
      <c r="G89" s="13"/>
      <c r="H89" s="54"/>
    </row>
    <row r="90" spans="1:8" x14ac:dyDescent="0.25">
      <c r="A90" s="117" t="s">
        <v>174</v>
      </c>
      <c r="B90" s="16">
        <f>B42</f>
        <v>542695</v>
      </c>
      <c r="C90" s="16">
        <f t="shared" ref="C90:F90" si="67">C42</f>
        <v>542695</v>
      </c>
      <c r="D90" s="16">
        <f t="shared" si="67"/>
        <v>542695</v>
      </c>
      <c r="E90" s="16">
        <f t="shared" si="67"/>
        <v>542695</v>
      </c>
      <c r="F90" s="16">
        <f t="shared" si="67"/>
        <v>542695</v>
      </c>
      <c r="G90" s="13"/>
      <c r="H90" s="54"/>
    </row>
    <row r="91" spans="1:8" x14ac:dyDescent="0.25">
      <c r="A91" s="117" t="s">
        <v>178</v>
      </c>
      <c r="B91" s="16">
        <f>B51-B79</f>
        <v>0</v>
      </c>
      <c r="C91" s="16">
        <f t="shared" ref="C91:F91" si="68">C51-C79</f>
        <v>0</v>
      </c>
      <c r="D91" s="16">
        <f t="shared" si="68"/>
        <v>0</v>
      </c>
      <c r="E91" s="16">
        <f t="shared" si="68"/>
        <v>0</v>
      </c>
      <c r="F91" s="16">
        <f t="shared" si="68"/>
        <v>0</v>
      </c>
      <c r="G91" s="13"/>
      <c r="H91" s="54"/>
    </row>
    <row r="92" spans="1:8" x14ac:dyDescent="0.25">
      <c r="A92" s="119" t="s">
        <v>180</v>
      </c>
      <c r="B92" s="115" t="e">
        <f>B89+B90+B91</f>
        <v>#VALUE!</v>
      </c>
      <c r="C92" s="115" t="e">
        <f t="shared" ref="C92:F92" si="69">C89+C90+C91</f>
        <v>#VALUE!</v>
      </c>
      <c r="D92" s="115" t="e">
        <f t="shared" si="69"/>
        <v>#VALUE!</v>
      </c>
      <c r="E92" s="115" t="e">
        <f t="shared" si="69"/>
        <v>#VALUE!</v>
      </c>
      <c r="F92" s="115" t="e">
        <f t="shared" si="69"/>
        <v>#VALUE!</v>
      </c>
      <c r="G92" s="13"/>
      <c r="H92" s="54"/>
    </row>
    <row r="93" spans="1:8" x14ac:dyDescent="0.25">
      <c r="A93" s="117" t="s">
        <v>98</v>
      </c>
      <c r="B93" s="16">
        <f>IF($H$9="OUI",-B6,0)-IF($H$15="OUI",B12,0)-IF($H$21="OUI",B18,0)</f>
        <v>0</v>
      </c>
      <c r="C93" s="16">
        <f>IF($H$9="OUI",-C6,0)-IF($H$15="OUI",C12,0)-IF($H$21="OUI",C18,0)</f>
        <v>0</v>
      </c>
      <c r="D93" s="16">
        <f>IF($H$9="OUI",-D6,0)-IF($H$15="OUI",D12,0)-IF($H$21="OUI",D18,0)</f>
        <v>0</v>
      </c>
      <c r="E93" s="16">
        <f>IF($H$9="OUI",-E6,0)-IF($H$15="OUI",E12,0)-IF($H$21="OUI",E18,0)</f>
        <v>0</v>
      </c>
      <c r="F93" s="16">
        <f>IF($H$9="OUI",-F6,0)-IF($H$15="OUI",F12,0)-IF($H$21="OUI",F18,0)</f>
        <v>0</v>
      </c>
      <c r="G93" s="13"/>
      <c r="H93" s="54"/>
    </row>
    <row r="94" spans="1:8" x14ac:dyDescent="0.25">
      <c r="A94" s="119" t="s">
        <v>123</v>
      </c>
      <c r="B94" s="115" t="e">
        <f>B92+B93</f>
        <v>#VALUE!</v>
      </c>
      <c r="C94" s="115" t="e">
        <f t="shared" ref="C94:F94" si="70">C92+C93</f>
        <v>#VALUE!</v>
      </c>
      <c r="D94" s="115" t="e">
        <f t="shared" si="70"/>
        <v>#VALUE!</v>
      </c>
      <c r="E94" s="115" t="e">
        <f t="shared" si="70"/>
        <v>#VALUE!</v>
      </c>
      <c r="F94" s="115" t="e">
        <f t="shared" si="70"/>
        <v>#VALUE!</v>
      </c>
      <c r="G94" s="13"/>
      <c r="H94" s="54"/>
    </row>
    <row r="95" spans="1:8" ht="4.5" customHeight="1" x14ac:dyDescent="0.25">
      <c r="A95" s="37"/>
      <c r="B95" s="29"/>
      <c r="C95" s="29"/>
      <c r="D95" s="29"/>
      <c r="E95" s="29"/>
      <c r="F95" s="29"/>
      <c r="G95" s="13"/>
      <c r="H95" s="54"/>
    </row>
    <row r="96" spans="1:8" x14ac:dyDescent="0.25">
      <c r="A96" s="119" t="s">
        <v>181</v>
      </c>
      <c r="B96" s="115" t="e">
        <f>Données!G72+IF($H$9="OUI",EP!B6,0)+IF($H$15="OUI",EP!B12,0)+IF($H$21="OUI",EP!B18,0)-(FLOOR(B92,10000))</f>
        <v>#VALUE!</v>
      </c>
      <c r="C96" s="115" t="e">
        <f>B96+IF($H$9="OUI",EP!C6,0)+IF($H$15="OUI",EP!C12,0)+IF($H$21="OUI",EP!C18,0)-(FLOOR(C92,10000))</f>
        <v>#VALUE!</v>
      </c>
      <c r="D96" s="115" t="e">
        <f>C96+IF($H$9="OUI",EP!D6,0)+IF($H$15="OUI",EP!D12,0)+IF($H$21="OUI",EP!D18,0)-(FLOOR(D92,10000))</f>
        <v>#VALUE!</v>
      </c>
      <c r="E96" s="115" t="e">
        <f>D96+IF($H$9="OUI",EP!E6,0)+IF($H$15="OUI",EP!E12,0)+IF($H$21="OUI",EP!E18,0)-(FLOOR(E92,10000))</f>
        <v>#VALUE!</v>
      </c>
      <c r="F96" s="115" t="e">
        <f>E96+IF($H$9="OUI",EP!F6,0)+IF($H$15="OUI",EP!F12,0)+IF($H$21="OUI",EP!F18,0)-(FLOOR(F92,10000))</f>
        <v>#VALUE!</v>
      </c>
      <c r="G96" s="13"/>
      <c r="H96" s="54"/>
    </row>
    <row r="97" spans="1:8" ht="14.25" thickBot="1" x14ac:dyDescent="0.3">
      <c r="A97" s="41"/>
      <c r="B97" s="112"/>
      <c r="C97" s="112"/>
      <c r="D97" s="112"/>
      <c r="E97" s="112"/>
      <c r="F97" s="112"/>
      <c r="G97" s="42"/>
      <c r="H97" s="43"/>
    </row>
    <row r="98" spans="1:8" ht="14.25" thickBot="1" x14ac:dyDescent="0.3">
      <c r="B98" s="3"/>
      <c r="C98" s="3"/>
      <c r="D98" s="3"/>
      <c r="E98" s="3"/>
      <c r="F98" s="3"/>
    </row>
    <row r="99" spans="1:8" x14ac:dyDescent="0.25">
      <c r="A99" s="123" t="s">
        <v>94</v>
      </c>
      <c r="B99" s="121"/>
      <c r="C99" s="121"/>
      <c r="D99" s="121"/>
      <c r="E99" s="121"/>
      <c r="F99" s="124"/>
    </row>
    <row r="100" spans="1:8" ht="4.5" customHeight="1" x14ac:dyDescent="0.25">
      <c r="A100" s="37"/>
      <c r="B100" s="29"/>
      <c r="C100" s="29"/>
      <c r="D100" s="29"/>
      <c r="E100" s="29"/>
      <c r="F100" s="30"/>
    </row>
    <row r="101" spans="1:8" x14ac:dyDescent="0.25">
      <c r="A101" s="31" t="s">
        <v>68</v>
      </c>
      <c r="B101" s="29"/>
      <c r="C101" s="29"/>
      <c r="D101" s="29"/>
      <c r="E101" s="29"/>
      <c r="F101" s="30"/>
    </row>
    <row r="102" spans="1:8" x14ac:dyDescent="0.25">
      <c r="A102" s="116" t="s">
        <v>29</v>
      </c>
      <c r="B102" s="122">
        <f>B86</f>
        <v>2021</v>
      </c>
      <c r="C102" s="122">
        <f>C86</f>
        <v>2022</v>
      </c>
      <c r="D102" s="122">
        <f>D86</f>
        <v>2023</v>
      </c>
      <c r="E102" s="122">
        <f>E86</f>
        <v>2024</v>
      </c>
      <c r="F102" s="125">
        <f>F86</f>
        <v>2025</v>
      </c>
      <c r="H102" s="148"/>
    </row>
    <row r="103" spans="1:8" x14ac:dyDescent="0.25">
      <c r="A103" s="117" t="s">
        <v>106</v>
      </c>
      <c r="B103" s="16" t="e">
        <f>B96</f>
        <v>#VALUE!</v>
      </c>
      <c r="C103" s="16" t="e">
        <f>C96</f>
        <v>#VALUE!</v>
      </c>
      <c r="D103" s="16" t="e">
        <f t="shared" ref="D103:F103" si="71">D96</f>
        <v>#VALUE!</v>
      </c>
      <c r="E103" s="16" t="e">
        <f t="shared" si="71"/>
        <v>#VALUE!</v>
      </c>
      <c r="F103" s="33" t="e">
        <f t="shared" si="71"/>
        <v>#VALUE!</v>
      </c>
      <c r="H103" s="148" t="s">
        <v>197</v>
      </c>
    </row>
    <row r="104" spans="1:8" x14ac:dyDescent="0.25">
      <c r="A104" s="117" t="s">
        <v>104</v>
      </c>
      <c r="B104" s="16">
        <f>B81-B79</f>
        <v>6539724</v>
      </c>
      <c r="C104" s="16">
        <f t="shared" ref="C104:F104" si="72">C81-C79</f>
        <v>6539724</v>
      </c>
      <c r="D104" s="16">
        <f t="shared" si="72"/>
        <v>6539724</v>
      </c>
      <c r="E104" s="16">
        <f t="shared" si="72"/>
        <v>6539724</v>
      </c>
      <c r="F104" s="33">
        <f t="shared" si="72"/>
        <v>6539724</v>
      </c>
      <c r="H104" s="148" t="s">
        <v>199</v>
      </c>
    </row>
    <row r="105" spans="1:8" x14ac:dyDescent="0.25">
      <c r="A105" s="126" t="s">
        <v>71</v>
      </c>
      <c r="B105" s="20" t="e">
        <f>IF(B103&lt;=0,0,B103/B104)</f>
        <v>#VALUE!</v>
      </c>
      <c r="C105" s="20" t="e">
        <f t="shared" ref="C105:F105" si="73">IF(C103&lt;=0,0,C103/C104)</f>
        <v>#VALUE!</v>
      </c>
      <c r="D105" s="20" t="e">
        <f t="shared" si="73"/>
        <v>#VALUE!</v>
      </c>
      <c r="E105" s="20" t="e">
        <f t="shared" si="73"/>
        <v>#VALUE!</v>
      </c>
      <c r="F105" s="34" t="e">
        <f t="shared" si="73"/>
        <v>#VALUE!</v>
      </c>
      <c r="H105" s="148"/>
    </row>
    <row r="106" spans="1:8" x14ac:dyDescent="0.25">
      <c r="A106" s="37"/>
      <c r="B106" s="29"/>
      <c r="C106" s="29"/>
      <c r="D106" s="29"/>
      <c r="E106" s="29"/>
      <c r="F106" s="30"/>
    </row>
    <row r="107" spans="1:8" x14ac:dyDescent="0.25">
      <c r="A107" s="31" t="s">
        <v>188</v>
      </c>
      <c r="B107" s="29"/>
      <c r="C107" s="29"/>
      <c r="D107" s="29"/>
      <c r="E107" s="29"/>
      <c r="F107" s="30"/>
    </row>
    <row r="108" spans="1:8" x14ac:dyDescent="0.25">
      <c r="A108" s="116" t="s">
        <v>29</v>
      </c>
      <c r="B108" s="122">
        <f>B102</f>
        <v>2021</v>
      </c>
      <c r="C108" s="122">
        <f t="shared" ref="C108:F109" si="74">C102</f>
        <v>2022</v>
      </c>
      <c r="D108" s="122">
        <f t="shared" si="74"/>
        <v>2023</v>
      </c>
      <c r="E108" s="122">
        <f t="shared" si="74"/>
        <v>2024</v>
      </c>
      <c r="F108" s="125">
        <f t="shared" si="74"/>
        <v>2025</v>
      </c>
    </row>
    <row r="109" spans="1:8" x14ac:dyDescent="0.25">
      <c r="A109" s="117" t="s">
        <v>106</v>
      </c>
      <c r="B109" s="16" t="e">
        <f>B103</f>
        <v>#VALUE!</v>
      </c>
      <c r="C109" s="16" t="e">
        <f t="shared" si="74"/>
        <v>#VALUE!</v>
      </c>
      <c r="D109" s="16" t="e">
        <f t="shared" si="74"/>
        <v>#VALUE!</v>
      </c>
      <c r="E109" s="16" t="e">
        <f t="shared" si="74"/>
        <v>#VALUE!</v>
      </c>
      <c r="F109" s="33" t="e">
        <f t="shared" si="74"/>
        <v>#VALUE!</v>
      </c>
    </row>
    <row r="110" spans="1:8" x14ac:dyDescent="0.25">
      <c r="A110" s="117" t="s">
        <v>97</v>
      </c>
      <c r="B110" s="16" t="e">
        <f>B92</f>
        <v>#VALUE!</v>
      </c>
      <c r="C110" s="16" t="e">
        <f t="shared" ref="C110:F110" si="75">C92</f>
        <v>#VALUE!</v>
      </c>
      <c r="D110" s="16" t="e">
        <f t="shared" si="75"/>
        <v>#VALUE!</v>
      </c>
      <c r="E110" s="16" t="e">
        <f t="shared" si="75"/>
        <v>#VALUE!</v>
      </c>
      <c r="F110" s="33" t="e">
        <f t="shared" si="75"/>
        <v>#VALUE!</v>
      </c>
    </row>
    <row r="111" spans="1:8" x14ac:dyDescent="0.25">
      <c r="A111" s="126" t="s">
        <v>71</v>
      </c>
      <c r="B111" s="91" t="e">
        <f>IF(B109&lt;=0,0,IF(B110&lt;=0,"Impossible",B109/B110))</f>
        <v>#VALUE!</v>
      </c>
      <c r="C111" s="91" t="e">
        <f t="shared" ref="C111:F111" si="76">IF(C109&lt;=0,0,IF(C110&lt;=0,"Impossible",C109/C110))</f>
        <v>#VALUE!</v>
      </c>
      <c r="D111" s="91" t="e">
        <f t="shared" si="76"/>
        <v>#VALUE!</v>
      </c>
      <c r="E111" s="91" t="e">
        <f t="shared" si="76"/>
        <v>#VALUE!</v>
      </c>
      <c r="F111" s="92" t="e">
        <f t="shared" si="76"/>
        <v>#VALUE!</v>
      </c>
    </row>
    <row r="112" spans="1:8" x14ac:dyDescent="0.25">
      <c r="A112" s="37"/>
      <c r="B112" s="13"/>
      <c r="C112" s="13"/>
      <c r="D112" s="13"/>
      <c r="E112" s="13"/>
      <c r="F112" s="54"/>
    </row>
    <row r="113" spans="1:6" x14ac:dyDescent="0.25">
      <c r="A113" s="38" t="s">
        <v>92</v>
      </c>
      <c r="B113" s="13"/>
      <c r="C113" s="13"/>
      <c r="D113" s="13"/>
      <c r="E113" s="13"/>
      <c r="F113" s="54"/>
    </row>
    <row r="114" spans="1:6" x14ac:dyDescent="0.25">
      <c r="A114" s="116" t="s">
        <v>29</v>
      </c>
      <c r="B114" s="122">
        <f>B108</f>
        <v>2021</v>
      </c>
      <c r="C114" s="122">
        <f t="shared" ref="C114:F114" si="77">C108</f>
        <v>2022</v>
      </c>
      <c r="D114" s="122">
        <f t="shared" si="77"/>
        <v>2023</v>
      </c>
      <c r="E114" s="122">
        <f t="shared" si="77"/>
        <v>2024</v>
      </c>
      <c r="F114" s="125">
        <f t="shared" si="77"/>
        <v>2025</v>
      </c>
    </row>
    <row r="115" spans="1:6" x14ac:dyDescent="0.25">
      <c r="A115" s="117" t="s">
        <v>97</v>
      </c>
      <c r="B115" s="16" t="e">
        <f>B110</f>
        <v>#VALUE!</v>
      </c>
      <c r="C115" s="16" t="e">
        <f t="shared" ref="C115:F115" si="78">C110</f>
        <v>#VALUE!</v>
      </c>
      <c r="D115" s="16" t="e">
        <f t="shared" si="78"/>
        <v>#VALUE!</v>
      </c>
      <c r="E115" s="16" t="e">
        <f t="shared" si="78"/>
        <v>#VALUE!</v>
      </c>
      <c r="F115" s="33" t="e">
        <f t="shared" si="78"/>
        <v>#VALUE!</v>
      </c>
    </row>
    <row r="116" spans="1:6" x14ac:dyDescent="0.25">
      <c r="A116" s="117" t="s">
        <v>102</v>
      </c>
      <c r="B116" s="16">
        <v>30</v>
      </c>
      <c r="C116" s="16">
        <v>30</v>
      </c>
      <c r="D116" s="16">
        <v>30</v>
      </c>
      <c r="E116" s="16">
        <v>30</v>
      </c>
      <c r="F116" s="33">
        <v>30</v>
      </c>
    </row>
    <row r="117" spans="1:6" x14ac:dyDescent="0.25">
      <c r="A117" s="126" t="s">
        <v>81</v>
      </c>
      <c r="B117" s="127" t="e">
        <f>IF(B115&lt;=0,0,B115*B116)</f>
        <v>#VALUE!</v>
      </c>
      <c r="C117" s="127" t="e">
        <f t="shared" ref="C117:F117" si="79">IF(C115&lt;=0,0,C115*C116)</f>
        <v>#VALUE!</v>
      </c>
      <c r="D117" s="127" t="e">
        <f t="shared" si="79"/>
        <v>#VALUE!</v>
      </c>
      <c r="E117" s="127" t="e">
        <f t="shared" si="79"/>
        <v>#VALUE!</v>
      </c>
      <c r="F117" s="128" t="e">
        <f t="shared" si="79"/>
        <v>#VALUE!</v>
      </c>
    </row>
    <row r="118" spans="1:6" x14ac:dyDescent="0.25">
      <c r="A118" s="37"/>
      <c r="B118" s="13"/>
      <c r="C118" s="13"/>
      <c r="D118" s="13"/>
      <c r="E118" s="13"/>
      <c r="F118" s="54"/>
    </row>
    <row r="119" spans="1:6" x14ac:dyDescent="0.25">
      <c r="A119" s="38" t="s">
        <v>134</v>
      </c>
      <c r="B119" s="13"/>
      <c r="C119" s="13"/>
      <c r="D119" s="13"/>
      <c r="E119" s="13"/>
      <c r="F119" s="54"/>
    </row>
    <row r="120" spans="1:6" x14ac:dyDescent="0.25">
      <c r="A120" s="116" t="s">
        <v>29</v>
      </c>
      <c r="B120" s="122">
        <f>B108</f>
        <v>2021</v>
      </c>
      <c r="C120" s="122">
        <f>C108</f>
        <v>2022</v>
      </c>
      <c r="D120" s="122">
        <f>D108</f>
        <v>2023</v>
      </c>
      <c r="E120" s="122">
        <f>E108</f>
        <v>2024</v>
      </c>
      <c r="F120" s="125">
        <f>F108</f>
        <v>2025</v>
      </c>
    </row>
    <row r="121" spans="1:6" x14ac:dyDescent="0.25">
      <c r="A121" s="117" t="s">
        <v>106</v>
      </c>
      <c r="B121" s="16" t="e">
        <f>B109</f>
        <v>#VALUE!</v>
      </c>
      <c r="C121" s="16" t="e">
        <f t="shared" ref="C121:F121" si="80">C109</f>
        <v>#VALUE!</v>
      </c>
      <c r="D121" s="16" t="e">
        <f t="shared" si="80"/>
        <v>#VALUE!</v>
      </c>
      <c r="E121" s="16" t="e">
        <f t="shared" si="80"/>
        <v>#VALUE!</v>
      </c>
      <c r="F121" s="33" t="e">
        <f t="shared" si="80"/>
        <v>#VALUE!</v>
      </c>
    </row>
    <row r="122" spans="1:6" x14ac:dyDescent="0.25">
      <c r="A122" s="117" t="s">
        <v>102</v>
      </c>
      <c r="B122" s="16">
        <v>30</v>
      </c>
      <c r="C122" s="16">
        <v>30</v>
      </c>
      <c r="D122" s="16">
        <v>30</v>
      </c>
      <c r="E122" s="16">
        <v>30</v>
      </c>
      <c r="F122" s="33">
        <v>30</v>
      </c>
    </row>
    <row r="123" spans="1:6" x14ac:dyDescent="0.25">
      <c r="A123" s="126" t="s">
        <v>81</v>
      </c>
      <c r="B123" s="127" t="e">
        <f>IF(B121&lt;=0,0,B121/B122)</f>
        <v>#VALUE!</v>
      </c>
      <c r="C123" s="127" t="e">
        <f t="shared" ref="C123:F123" si="81">IF(C121&lt;=0,0,C121/C122)</f>
        <v>#VALUE!</v>
      </c>
      <c r="D123" s="127" t="e">
        <f t="shared" si="81"/>
        <v>#VALUE!</v>
      </c>
      <c r="E123" s="127" t="e">
        <f t="shared" si="81"/>
        <v>#VALUE!</v>
      </c>
      <c r="F123" s="128" t="e">
        <f t="shared" si="81"/>
        <v>#VALUE!</v>
      </c>
    </row>
    <row r="124" spans="1:6" ht="14.25" thickBot="1" x14ac:dyDescent="0.3">
      <c r="A124" s="41"/>
      <c r="B124" s="42"/>
      <c r="C124" s="42"/>
      <c r="D124" s="42"/>
      <c r="E124" s="42"/>
      <c r="F124" s="43"/>
    </row>
    <row r="125" spans="1:6" ht="4.5" customHeight="1" thickBot="1" x14ac:dyDescent="0.3"/>
    <row r="126" spans="1:6" x14ac:dyDescent="0.25">
      <c r="A126" s="123" t="s">
        <v>46</v>
      </c>
      <c r="B126" s="111"/>
      <c r="C126" s="111"/>
      <c r="D126" s="111"/>
      <c r="E126" s="111"/>
      <c r="F126" s="113"/>
    </row>
    <row r="127" spans="1:6" ht="4.5" customHeight="1" x14ac:dyDescent="0.25">
      <c r="A127" s="37"/>
      <c r="B127" s="13"/>
      <c r="C127" s="13"/>
      <c r="D127" s="13"/>
      <c r="E127" s="13"/>
      <c r="F127" s="54"/>
    </row>
    <row r="128" spans="1:6" x14ac:dyDescent="0.25">
      <c r="A128" s="38" t="s">
        <v>95</v>
      </c>
      <c r="B128" s="13"/>
      <c r="C128" s="13"/>
      <c r="D128" s="13"/>
      <c r="E128" s="13"/>
      <c r="F128" s="54"/>
    </row>
    <row r="129" spans="1:6" x14ac:dyDescent="0.25">
      <c r="A129" s="116" t="s">
        <v>29</v>
      </c>
      <c r="B129" s="122">
        <f>B120</f>
        <v>2021</v>
      </c>
      <c r="C129" s="122">
        <f t="shared" ref="C129:F129" si="82">C120</f>
        <v>2022</v>
      </c>
      <c r="D129" s="122">
        <f t="shared" si="82"/>
        <v>2023</v>
      </c>
      <c r="E129" s="122">
        <f t="shared" si="82"/>
        <v>2024</v>
      </c>
      <c r="F129" s="125">
        <f t="shared" si="82"/>
        <v>2025</v>
      </c>
    </row>
    <row r="130" spans="1:6" x14ac:dyDescent="0.25">
      <c r="A130" s="117" t="s">
        <v>97</v>
      </c>
      <c r="B130" s="16" t="e">
        <f>B110</f>
        <v>#VALUE!</v>
      </c>
      <c r="C130" s="16" t="e">
        <f>C110</f>
        <v>#VALUE!</v>
      </c>
      <c r="D130" s="16" t="e">
        <f>D110</f>
        <v>#VALUE!</v>
      </c>
      <c r="E130" s="16" t="e">
        <f>E110</f>
        <v>#VALUE!</v>
      </c>
      <c r="F130" s="33" t="e">
        <f>F110</f>
        <v>#VALUE!</v>
      </c>
    </row>
    <row r="131" spans="1:6" x14ac:dyDescent="0.25">
      <c r="A131" s="117" t="s">
        <v>98</v>
      </c>
      <c r="B131" s="16">
        <f>-B93</f>
        <v>0</v>
      </c>
      <c r="C131" s="16">
        <f t="shared" ref="C131:F131" si="83">-C93</f>
        <v>0</v>
      </c>
      <c r="D131" s="16">
        <f t="shared" si="83"/>
        <v>0</v>
      </c>
      <c r="E131" s="16">
        <f t="shared" si="83"/>
        <v>0</v>
      </c>
      <c r="F131" s="33">
        <f t="shared" si="83"/>
        <v>0</v>
      </c>
    </row>
    <row r="132" spans="1:6" x14ac:dyDescent="0.25">
      <c r="A132" s="126" t="s">
        <v>78</v>
      </c>
      <c r="B132" s="21" t="e">
        <f>IF(B130&lt;=0,0,IF(B131=0,0,B130/B131))</f>
        <v>#VALUE!</v>
      </c>
      <c r="C132" s="21" t="e">
        <f t="shared" ref="C132:F132" si="84">IF(C130&lt;=0,0,IF(C131=0,0,C130/C131))</f>
        <v>#VALUE!</v>
      </c>
      <c r="D132" s="21" t="e">
        <f t="shared" si="84"/>
        <v>#VALUE!</v>
      </c>
      <c r="E132" s="21" t="e">
        <f t="shared" si="84"/>
        <v>#VALUE!</v>
      </c>
      <c r="F132" s="36" t="e">
        <f t="shared" si="84"/>
        <v>#VALUE!</v>
      </c>
    </row>
    <row r="133" spans="1:6" x14ac:dyDescent="0.25">
      <c r="A133" s="37"/>
      <c r="B133" s="13"/>
      <c r="C133" s="13"/>
      <c r="D133" s="13"/>
      <c r="E133" s="13"/>
      <c r="F133" s="54"/>
    </row>
    <row r="134" spans="1:6" x14ac:dyDescent="0.25">
      <c r="A134" s="38" t="s">
        <v>107</v>
      </c>
      <c r="B134" s="13"/>
      <c r="C134" s="13"/>
      <c r="D134" s="13"/>
      <c r="E134" s="13"/>
      <c r="F134" s="54"/>
    </row>
    <row r="135" spans="1:6" x14ac:dyDescent="0.25">
      <c r="A135" s="116" t="s">
        <v>29</v>
      </c>
      <c r="B135" s="122">
        <f>B129</f>
        <v>2021</v>
      </c>
      <c r="C135" s="122">
        <f t="shared" ref="C135:F135" si="85">C129</f>
        <v>2022</v>
      </c>
      <c r="D135" s="122">
        <f t="shared" si="85"/>
        <v>2023</v>
      </c>
      <c r="E135" s="122">
        <f t="shared" si="85"/>
        <v>2024</v>
      </c>
      <c r="F135" s="125">
        <f t="shared" si="85"/>
        <v>2025</v>
      </c>
    </row>
    <row r="136" spans="1:6" x14ac:dyDescent="0.25">
      <c r="A136" s="117" t="s">
        <v>97</v>
      </c>
      <c r="B136" s="16" t="e">
        <f>B130</f>
        <v>#VALUE!</v>
      </c>
      <c r="C136" s="16" t="e">
        <f t="shared" ref="C136:F136" si="86">C130</f>
        <v>#VALUE!</v>
      </c>
      <c r="D136" s="16" t="e">
        <f t="shared" si="86"/>
        <v>#VALUE!</v>
      </c>
      <c r="E136" s="16" t="e">
        <f t="shared" si="86"/>
        <v>#VALUE!</v>
      </c>
      <c r="F136" s="33" t="e">
        <f t="shared" si="86"/>
        <v>#VALUE!</v>
      </c>
    </row>
    <row r="137" spans="1:6" x14ac:dyDescent="0.25">
      <c r="A137" s="117" t="s">
        <v>104</v>
      </c>
      <c r="B137" s="16">
        <f>B104</f>
        <v>6539724</v>
      </c>
      <c r="C137" s="16">
        <f t="shared" ref="C137:F137" si="87">C104</f>
        <v>6539724</v>
      </c>
      <c r="D137" s="16">
        <f t="shared" si="87"/>
        <v>6539724</v>
      </c>
      <c r="E137" s="16">
        <f t="shared" si="87"/>
        <v>6539724</v>
      </c>
      <c r="F137" s="33">
        <f t="shared" si="87"/>
        <v>6539724</v>
      </c>
    </row>
    <row r="138" spans="1:6" x14ac:dyDescent="0.25">
      <c r="A138" s="126" t="s">
        <v>78</v>
      </c>
      <c r="B138" s="21" t="e">
        <f>IF(B136&lt;=0,0,B136/B137)</f>
        <v>#VALUE!</v>
      </c>
      <c r="C138" s="21" t="e">
        <f t="shared" ref="C138:F138" si="88">IF(C136&lt;=0,0,C136/C137)</f>
        <v>#VALUE!</v>
      </c>
      <c r="D138" s="21" t="e">
        <f t="shared" si="88"/>
        <v>#VALUE!</v>
      </c>
      <c r="E138" s="21" t="e">
        <f t="shared" si="88"/>
        <v>#VALUE!</v>
      </c>
      <c r="F138" s="36" t="e">
        <f t="shared" si="88"/>
        <v>#VALUE!</v>
      </c>
    </row>
    <row r="139" spans="1:6" ht="14.25" thickBot="1" x14ac:dyDescent="0.3">
      <c r="A139" s="41"/>
      <c r="B139" s="42"/>
      <c r="C139" s="42"/>
      <c r="D139" s="42"/>
      <c r="E139" s="42"/>
      <c r="F139" s="43"/>
    </row>
    <row r="141" spans="1:6" x14ac:dyDescent="0.25">
      <c r="A141" t="s">
        <v>238</v>
      </c>
    </row>
    <row r="142" spans="1:6" x14ac:dyDescent="0.25">
      <c r="A142" t="s">
        <v>239</v>
      </c>
    </row>
    <row r="144" spans="1:6" x14ac:dyDescent="0.25">
      <c r="A144" t="s">
        <v>203</v>
      </c>
    </row>
    <row r="145" spans="1:1" x14ac:dyDescent="0.25">
      <c r="A145" t="s">
        <v>240</v>
      </c>
    </row>
  </sheetData>
  <sheetProtection sort="0"/>
  <conditionalFormatting sqref="B105:F105">
    <cfRule type="cellIs" dxfId="23" priority="9" operator="between">
      <formula>2</formula>
      <formula>2.5</formula>
    </cfRule>
    <cfRule type="cellIs" dxfId="22" priority="10" operator="lessThan">
      <formula>2</formula>
    </cfRule>
    <cfRule type="cellIs" dxfId="21" priority="11" operator="greaterThan">
      <formula>2.5</formula>
    </cfRule>
  </conditionalFormatting>
  <conditionalFormatting sqref="B111:F111">
    <cfRule type="cellIs" dxfId="20" priority="5" operator="equal">
      <formula>"Impossible"</formula>
    </cfRule>
    <cfRule type="cellIs" dxfId="19" priority="6" operator="lessThan">
      <formula>25</formula>
    </cfRule>
    <cfRule type="cellIs" dxfId="18" priority="7" operator="between">
      <formula>25</formula>
      <formula>30</formula>
    </cfRule>
    <cfRule type="cellIs" dxfId="17" priority="8" operator="greaterThan">
      <formula>30</formula>
    </cfRule>
  </conditionalFormatting>
  <conditionalFormatting sqref="B138:F138">
    <cfRule type="cellIs" dxfId="16" priority="2" operator="lessThan">
      <formula>0.1</formula>
    </cfRule>
    <cfRule type="cellIs" dxfId="15" priority="3" operator="between">
      <formula>0.1</formula>
      <formula>0.2</formula>
    </cfRule>
    <cfRule type="cellIs" dxfId="14" priority="4" operator="greaterThan">
      <formula>0.2</formula>
    </cfRule>
  </conditionalFormatting>
  <conditionalFormatting sqref="B132:F132">
    <cfRule type="cellIs" dxfId="13" priority="1" operator="equal">
      <formula>0</formula>
    </cfRule>
  </conditionalFormatting>
  <dataValidations count="1">
    <dataValidation type="list" allowBlank="1" showInputMessage="1" showErrorMessage="1" sqref="H9 H15 H21" xr:uid="{6A115E77-33DB-48D1-B811-4C4DB11FA579}">
      <formula1>$H$103:$H$104</formula1>
    </dataValidation>
  </dataValidations>
  <pageMargins left="0.25" right="0.25" top="0.75" bottom="0.75" header="0.3" footer="0.3"/>
  <pageSetup paperSize="9" orientation="portrait" r:id="rId1"/>
  <headerFooter>
    <oddHeader>&amp;LV1.0&amp;CEvaluation prospective (EP)&amp;R&amp;D</oddHeader>
    <oddFooter>&amp;LFichier d'analyse réalisé par l'UCV
conseils@ucv.ch&amp;C&amp;G&amp;R&amp;P/&amp;N</oddFooter>
  </headerFooter>
  <rowBreaks count="2" manualBreakCount="2">
    <brk id="54" max="16383" man="1"/>
    <brk id="9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202A-0A9A-478F-9FD3-1FA8453A0CAD}">
  <sheetPr>
    <tabColor theme="4"/>
  </sheetPr>
  <dimension ref="A1:R38"/>
  <sheetViews>
    <sheetView showWhiteSpace="0" view="pageLayout" zoomScale="145" zoomScaleNormal="100" zoomScalePageLayoutView="145" workbookViewId="0">
      <selection activeCell="C6" sqref="C6"/>
    </sheetView>
  </sheetViews>
  <sheetFormatPr baseColWidth="10" defaultRowHeight="13.5" x14ac:dyDescent="0.25"/>
  <cols>
    <col min="1" max="1" width="49.59765625" customWidth="1"/>
    <col min="2" max="11" width="14.59765625" customWidth="1"/>
  </cols>
  <sheetData>
    <row r="1" spans="1:11" ht="15.75" x14ac:dyDescent="0.25">
      <c r="A1" s="88" t="s">
        <v>182</v>
      </c>
      <c r="C1" s="184" t="str">
        <f>Données!D1</f>
        <v>Bassins</v>
      </c>
      <c r="D1" s="184"/>
      <c r="E1" s="184"/>
      <c r="F1" s="184"/>
      <c r="G1" s="184"/>
    </row>
    <row r="2" spans="1:11" ht="15" x14ac:dyDescent="0.25">
      <c r="F2" s="163" t="str">
        <f>Données!G2</f>
        <v>Budget</v>
      </c>
    </row>
    <row r="3" spans="1:11" s="90" customFormat="1" ht="17.100000000000001" customHeight="1" x14ac:dyDescent="0.25">
      <c r="A3" s="95" t="s">
        <v>83</v>
      </c>
      <c r="B3" s="14">
        <f>AF!D5</f>
        <v>2016</v>
      </c>
      <c r="C3" s="14">
        <f>AF!E5</f>
        <v>2017</v>
      </c>
      <c r="D3" s="14">
        <f>AF!F5</f>
        <v>2018</v>
      </c>
      <c r="E3" s="14">
        <f>AF!G5</f>
        <v>2019</v>
      </c>
      <c r="F3" s="14">
        <f>AF!H5</f>
        <v>2020</v>
      </c>
      <c r="G3" s="101">
        <f>EP!B5</f>
        <v>2021</v>
      </c>
      <c r="H3" s="101">
        <f>EP!C5</f>
        <v>2022</v>
      </c>
      <c r="I3" s="101">
        <f>EP!D5</f>
        <v>2023</v>
      </c>
      <c r="J3" s="101">
        <f>EP!E5</f>
        <v>2024</v>
      </c>
      <c r="K3" s="101">
        <f>EP!F5</f>
        <v>2025</v>
      </c>
    </row>
    <row r="4" spans="1:11" s="90" customFormat="1" ht="17.100000000000001" customHeight="1" x14ac:dyDescent="0.25">
      <c r="A4" s="94" t="s">
        <v>255</v>
      </c>
      <c r="B4" s="96">
        <f>AF!D27+AF!D17+AF!D18+AF!D20</f>
        <v>6190957.0199999996</v>
      </c>
      <c r="C4" s="96">
        <f>AF!E27+AF!E17+AF!E18+AF!E20</f>
        <v>6303974.6800000006</v>
      </c>
      <c r="D4" s="96">
        <f>AF!F27+AF!F17+AF!F18+AF!F20</f>
        <v>6604035.1699999999</v>
      </c>
      <c r="E4" s="96">
        <f>AF!G27+AF!G17+AF!G18+AF!G20</f>
        <v>7567758.9899999993</v>
      </c>
      <c r="F4" s="96">
        <f>AF!H27+AF!H17+AF!H18+AF!H20</f>
        <v>6914254</v>
      </c>
      <c r="G4" s="96" t="e">
        <f>EP!B87</f>
        <v>#VALUE!</v>
      </c>
      <c r="H4" s="96" t="e">
        <f>EP!C87</f>
        <v>#VALUE!</v>
      </c>
      <c r="I4" s="96" t="e">
        <f>EP!D87</f>
        <v>#VALUE!</v>
      </c>
      <c r="J4" s="96" t="e">
        <f>EP!E87</f>
        <v>#VALUE!</v>
      </c>
      <c r="K4" s="96" t="e">
        <f>EP!F87</f>
        <v>#VALUE!</v>
      </c>
    </row>
    <row r="5" spans="1:11" s="90" customFormat="1" ht="17.100000000000001" customHeight="1" x14ac:dyDescent="0.25">
      <c r="A5" s="94" t="s">
        <v>256</v>
      </c>
      <c r="B5" s="96">
        <f>AF!D26-AF!D19</f>
        <v>6157833.9199999999</v>
      </c>
      <c r="C5" s="96">
        <f>AF!E26-AF!E19</f>
        <v>7374991.5000000009</v>
      </c>
      <c r="D5" s="96">
        <f>AF!F26-AF!F19</f>
        <v>6501113.0699999994</v>
      </c>
      <c r="E5" s="96">
        <f>AF!G26-AF!G19</f>
        <v>7317219.5299999993</v>
      </c>
      <c r="F5" s="96">
        <f>AF!H26-AF!H19</f>
        <v>6539724</v>
      </c>
      <c r="G5" s="96">
        <f>EP!B88</f>
        <v>6539724</v>
      </c>
      <c r="H5" s="96">
        <f>EP!C88</f>
        <v>6539724</v>
      </c>
      <c r="I5" s="96">
        <f>EP!D88</f>
        <v>6539724</v>
      </c>
      <c r="J5" s="96">
        <f>EP!E88</f>
        <v>6539724</v>
      </c>
      <c r="K5" s="96">
        <f>EP!F88</f>
        <v>6539724</v>
      </c>
    </row>
    <row r="6" spans="1:11" s="90" customFormat="1" ht="17.100000000000001" customHeight="1" x14ac:dyDescent="0.25">
      <c r="A6" s="97" t="s">
        <v>161</v>
      </c>
      <c r="B6" s="98">
        <f>B5-B4</f>
        <v>-33123.099999999627</v>
      </c>
      <c r="C6" s="98">
        <f t="shared" ref="C6:F6" si="0">C5-C4</f>
        <v>1071016.8200000003</v>
      </c>
      <c r="D6" s="98">
        <f t="shared" si="0"/>
        <v>-102922.10000000056</v>
      </c>
      <c r="E6" s="98">
        <f t="shared" si="0"/>
        <v>-250539.45999999996</v>
      </c>
      <c r="F6" s="98">
        <f t="shared" si="0"/>
        <v>-374530</v>
      </c>
      <c r="G6" s="102" t="e">
        <f>EP!B89</f>
        <v>#VALUE!</v>
      </c>
      <c r="H6" s="102" t="e">
        <f>EP!C89</f>
        <v>#VALUE!</v>
      </c>
      <c r="I6" s="102" t="e">
        <f>EP!D89</f>
        <v>#VALUE!</v>
      </c>
      <c r="J6" s="102" t="e">
        <f>EP!E89</f>
        <v>#VALUE!</v>
      </c>
      <c r="K6" s="102" t="e">
        <f>EP!F89</f>
        <v>#VALUE!</v>
      </c>
    </row>
    <row r="7" spans="1:11" s="90" customFormat="1" ht="17.100000000000001" customHeight="1" x14ac:dyDescent="0.25">
      <c r="A7" s="94" t="s">
        <v>237</v>
      </c>
      <c r="B7" s="96">
        <f>AF!D17+AF!D18+AF!D19+AF!D20</f>
        <v>499553.1</v>
      </c>
      <c r="C7" s="96">
        <f>AF!E17+AF!E18+AF!E19+AF!E20</f>
        <v>581562.4</v>
      </c>
      <c r="D7" s="96">
        <f>AF!F17+AF!F18+AF!F19+AF!F20</f>
        <v>620086</v>
      </c>
      <c r="E7" s="96">
        <f>AF!G17+AF!G18+AF!G19+AF!G20</f>
        <v>555895</v>
      </c>
      <c r="F7" s="96">
        <f>AF!H17+AF!H18+AF!H19+AF!H20</f>
        <v>542695</v>
      </c>
      <c r="G7" s="96">
        <f>EP!B90+EP!B91</f>
        <v>542695</v>
      </c>
      <c r="H7" s="96">
        <f>EP!C90+EP!C91</f>
        <v>542695</v>
      </c>
      <c r="I7" s="96">
        <f>EP!D90+EP!D91</f>
        <v>542695</v>
      </c>
      <c r="J7" s="96">
        <f>EP!E90+EP!E91</f>
        <v>542695</v>
      </c>
      <c r="K7" s="96">
        <f>EP!F90+EP!F91</f>
        <v>542695</v>
      </c>
    </row>
    <row r="8" spans="1:11" s="90" customFormat="1" ht="17.100000000000001" customHeight="1" x14ac:dyDescent="0.25">
      <c r="A8" s="99" t="s">
        <v>168</v>
      </c>
      <c r="B8" s="100">
        <f>B6+B7</f>
        <v>466430.00000000035</v>
      </c>
      <c r="C8" s="100">
        <f t="shared" ref="C8:F8" si="1">C6+C7</f>
        <v>1652579.2200000002</v>
      </c>
      <c r="D8" s="100">
        <f t="shared" si="1"/>
        <v>517163.89999999944</v>
      </c>
      <c r="E8" s="100">
        <f t="shared" si="1"/>
        <v>305355.54000000004</v>
      </c>
      <c r="F8" s="100">
        <f t="shared" si="1"/>
        <v>168165</v>
      </c>
      <c r="G8" s="103" t="e">
        <f>EP!B92</f>
        <v>#VALUE!</v>
      </c>
      <c r="H8" s="103" t="e">
        <f>EP!C92</f>
        <v>#VALUE!</v>
      </c>
      <c r="I8" s="103" t="e">
        <f>EP!D92</f>
        <v>#VALUE!</v>
      </c>
      <c r="J8" s="103" t="e">
        <f>EP!E92</f>
        <v>#VALUE!</v>
      </c>
      <c r="K8" s="103" t="e">
        <f>EP!F92</f>
        <v>#VALUE!</v>
      </c>
    </row>
    <row r="9" spans="1:11" s="90" customFormat="1" ht="17.100000000000001" customHeight="1" x14ac:dyDescent="0.25">
      <c r="A9" s="94" t="s">
        <v>122</v>
      </c>
      <c r="B9" s="96">
        <f>AF!D89</f>
        <v>900135.6</v>
      </c>
      <c r="C9" s="96">
        <f>AF!E89</f>
        <v>407203.15</v>
      </c>
      <c r="D9" s="96">
        <f>AF!F89</f>
        <v>-33486.149999999965</v>
      </c>
      <c r="E9" s="96">
        <f>AF!G89</f>
        <v>72128.149999999994</v>
      </c>
      <c r="F9" s="96" t="e">
        <f>AF!H89</f>
        <v>#VALUE!</v>
      </c>
      <c r="G9" s="96">
        <f>EP!B93</f>
        <v>0</v>
      </c>
      <c r="H9" s="96">
        <f>EP!C93</f>
        <v>0</v>
      </c>
      <c r="I9" s="96">
        <f>EP!D93</f>
        <v>0</v>
      </c>
      <c r="J9" s="96">
        <f>EP!E93</f>
        <v>0</v>
      </c>
      <c r="K9" s="96">
        <f>EP!F93</f>
        <v>0</v>
      </c>
    </row>
    <row r="10" spans="1:11" s="90" customFormat="1" ht="17.100000000000001" customHeight="1" x14ac:dyDescent="0.25">
      <c r="A10" s="99" t="s">
        <v>123</v>
      </c>
      <c r="B10" s="100">
        <f>AF!D24</f>
        <v>-433705.59999999963</v>
      </c>
      <c r="C10" s="100">
        <f>AF!E24</f>
        <v>1245376.0700000003</v>
      </c>
      <c r="D10" s="100">
        <f>AF!F24</f>
        <v>550650.04999999877</v>
      </c>
      <c r="E10" s="100">
        <f>AF!G24</f>
        <v>233227.38999999984</v>
      </c>
      <c r="F10" s="100" t="e">
        <f>AF!H24</f>
        <v>#VALUE!</v>
      </c>
      <c r="G10" s="103" t="e">
        <f>EP!B94</f>
        <v>#VALUE!</v>
      </c>
      <c r="H10" s="103" t="e">
        <f>EP!C94</f>
        <v>#VALUE!</v>
      </c>
      <c r="I10" s="103" t="e">
        <f>EP!D94</f>
        <v>#VALUE!</v>
      </c>
      <c r="J10" s="103" t="e">
        <f>EP!E94</f>
        <v>#VALUE!</v>
      </c>
      <c r="K10" s="103" t="e">
        <f>EP!F94</f>
        <v>#VALUE!</v>
      </c>
    </row>
    <row r="11" spans="1:11" s="90" customFormat="1" ht="17.100000000000001" customHeight="1" x14ac:dyDescent="0.25">
      <c r="B11" s="89"/>
      <c r="C11" s="89"/>
      <c r="D11" s="89"/>
      <c r="E11" s="89"/>
      <c r="F11" s="89"/>
    </row>
    <row r="12" spans="1:11" s="90" customFormat="1" ht="17.100000000000001" customHeight="1" x14ac:dyDescent="0.25">
      <c r="A12" s="104" t="s">
        <v>160</v>
      </c>
      <c r="B12" s="105">
        <f>B3</f>
        <v>2016</v>
      </c>
      <c r="C12" s="105">
        <f t="shared" ref="C12:F12" si="2">C3</f>
        <v>2017</v>
      </c>
      <c r="D12" s="105">
        <f t="shared" si="2"/>
        <v>2018</v>
      </c>
      <c r="E12" s="105">
        <f t="shared" si="2"/>
        <v>2019</v>
      </c>
      <c r="F12" s="105">
        <f t="shared" si="2"/>
        <v>2020</v>
      </c>
      <c r="G12" s="109">
        <f>G3</f>
        <v>2021</v>
      </c>
      <c r="H12" s="109">
        <f t="shared" ref="H12:K12" si="3">H3</f>
        <v>2022</v>
      </c>
      <c r="I12" s="109">
        <f t="shared" si="3"/>
        <v>2023</v>
      </c>
      <c r="J12" s="109">
        <f t="shared" si="3"/>
        <v>2024</v>
      </c>
      <c r="K12" s="109">
        <f t="shared" si="3"/>
        <v>2025</v>
      </c>
    </row>
    <row r="13" spans="1:11" s="90" customFormat="1" ht="17.100000000000001" customHeight="1" x14ac:dyDescent="0.25">
      <c r="A13" s="106" t="s">
        <v>106</v>
      </c>
      <c r="B13" s="107">
        <f>AF!D34</f>
        <v>15805267.5</v>
      </c>
      <c r="C13" s="107">
        <f>AF!E34</f>
        <v>15118637.91</v>
      </c>
      <c r="D13" s="107">
        <f>AF!F34</f>
        <v>14405548.129999999</v>
      </c>
      <c r="E13" s="107">
        <f>AF!G34</f>
        <v>14132261.5</v>
      </c>
      <c r="F13" s="107" t="e">
        <f>AF!H34</f>
        <v>#VALUE!</v>
      </c>
      <c r="G13" s="107" t="e">
        <f>EP!B96</f>
        <v>#VALUE!</v>
      </c>
      <c r="H13" s="107" t="e">
        <f>EP!C96</f>
        <v>#VALUE!</v>
      </c>
      <c r="I13" s="107" t="e">
        <f>EP!D96</f>
        <v>#VALUE!</v>
      </c>
      <c r="J13" s="107" t="e">
        <f>EP!E96</f>
        <v>#VALUE!</v>
      </c>
      <c r="K13" s="107" t="e">
        <f>EP!F96</f>
        <v>#VALUE!</v>
      </c>
    </row>
    <row r="14" spans="1:11" s="90" customFormat="1" ht="17.100000000000001" customHeight="1" x14ac:dyDescent="0.25">
      <c r="A14" s="94" t="s">
        <v>131</v>
      </c>
      <c r="B14" s="96">
        <f>AF!D54</f>
        <v>13992900.000000011</v>
      </c>
      <c r="C14" s="96">
        <f>AF!E54</f>
        <v>49577376.600000009</v>
      </c>
      <c r="D14" s="96">
        <f>AF!F54</f>
        <v>15514916.999999966</v>
      </c>
      <c r="E14" s="96">
        <f>AF!G54</f>
        <v>9160666.1999999937</v>
      </c>
      <c r="F14" s="96">
        <f>AF!H54</f>
        <v>5044950</v>
      </c>
      <c r="G14" s="96" t="e">
        <f>EP!B117</f>
        <v>#VALUE!</v>
      </c>
      <c r="H14" s="96" t="e">
        <f>EP!C117</f>
        <v>#VALUE!</v>
      </c>
      <c r="I14" s="96" t="e">
        <f>EP!D117</f>
        <v>#VALUE!</v>
      </c>
      <c r="J14" s="96" t="e">
        <f>EP!E117</f>
        <v>#VALUE!</v>
      </c>
      <c r="K14" s="96" t="e">
        <f>EP!F117</f>
        <v>#VALUE!</v>
      </c>
    </row>
    <row r="15" spans="1:11" s="90" customFormat="1" ht="17.100000000000001" customHeight="1" x14ac:dyDescent="0.25">
      <c r="A15" s="106" t="s">
        <v>87</v>
      </c>
      <c r="B15" s="107">
        <f>AF!D66</f>
        <v>526842.25</v>
      </c>
      <c r="C15" s="107">
        <f>AF!E66</f>
        <v>503954.59700000001</v>
      </c>
      <c r="D15" s="107">
        <f>AF!F66</f>
        <v>480184.93766666664</v>
      </c>
      <c r="E15" s="107">
        <f>AF!G66</f>
        <v>471075.38333333336</v>
      </c>
      <c r="F15" s="107" t="e">
        <f>AF!H66</f>
        <v>#VALUE!</v>
      </c>
      <c r="G15" s="107" t="e">
        <f>EP!B123</f>
        <v>#VALUE!</v>
      </c>
      <c r="H15" s="107" t="e">
        <f>EP!C123</f>
        <v>#VALUE!</v>
      </c>
      <c r="I15" s="107" t="e">
        <f>EP!D123</f>
        <v>#VALUE!</v>
      </c>
      <c r="J15" s="107" t="e">
        <f>EP!E123</f>
        <v>#VALUE!</v>
      </c>
      <c r="K15" s="107" t="e">
        <f>EP!F123</f>
        <v>#VALUE!</v>
      </c>
    </row>
    <row r="16" spans="1:11" s="90" customFormat="1" ht="4.5" customHeight="1" x14ac:dyDescent="0.25">
      <c r="A16" s="181"/>
      <c r="B16" s="181"/>
      <c r="C16" s="181"/>
      <c r="D16" s="181"/>
      <c r="E16" s="181"/>
      <c r="F16" s="181"/>
      <c r="G16" s="94"/>
      <c r="H16" s="94"/>
      <c r="I16" s="94"/>
      <c r="J16" s="94"/>
      <c r="K16" s="94"/>
    </row>
    <row r="17" spans="1:18" s="90" customFormat="1" ht="17.100000000000001" customHeight="1" x14ac:dyDescent="0.25">
      <c r="A17" s="94" t="s">
        <v>66</v>
      </c>
      <c r="B17" s="108">
        <f>AF!D36</f>
        <v>2.5666927210664365</v>
      </c>
      <c r="C17" s="108">
        <f>AF!E36</f>
        <v>2.0499871640530025</v>
      </c>
      <c r="D17" s="108">
        <f>AF!F36</f>
        <v>2.2158587267887651</v>
      </c>
      <c r="E17" s="108">
        <f>AF!G36</f>
        <v>1.9313704395582076</v>
      </c>
      <c r="F17" s="108" t="e">
        <f>AF!H36</f>
        <v>#VALUE!</v>
      </c>
      <c r="G17" s="108" t="e">
        <f>EP!B105</f>
        <v>#VALUE!</v>
      </c>
      <c r="H17" s="108" t="e">
        <f>EP!C105</f>
        <v>#VALUE!</v>
      </c>
      <c r="I17" s="108" t="e">
        <f>EP!D105</f>
        <v>#VALUE!</v>
      </c>
      <c r="J17" s="108" t="e">
        <f>EP!E105</f>
        <v>#VALUE!</v>
      </c>
      <c r="K17" s="108" t="e">
        <f>EP!F105</f>
        <v>#VALUE!</v>
      </c>
    </row>
    <row r="18" spans="1:18" s="90" customFormat="1" ht="17.100000000000001" customHeight="1" x14ac:dyDescent="0.25">
      <c r="A18" s="94" t="s">
        <v>72</v>
      </c>
      <c r="B18" s="110">
        <f>AF!D42</f>
        <v>33.885615204853863</v>
      </c>
      <c r="C18" s="110">
        <f>AF!E42</f>
        <v>9.1485102360176107</v>
      </c>
      <c r="D18" s="110">
        <f>AF!F42</f>
        <v>27.854898862817052</v>
      </c>
      <c r="E18" s="110">
        <f>AF!G42</f>
        <v>46.281333228799483</v>
      </c>
      <c r="F18" s="110" t="e">
        <f>AF!H42</f>
        <v>#VALUE!</v>
      </c>
      <c r="G18" s="110" t="e">
        <f>EP!B111</f>
        <v>#VALUE!</v>
      </c>
      <c r="H18" s="110" t="e">
        <f>EP!C111</f>
        <v>#VALUE!</v>
      </c>
      <c r="I18" s="110" t="e">
        <f>EP!D111</f>
        <v>#VALUE!</v>
      </c>
      <c r="J18" s="110" t="e">
        <f>EP!E111</f>
        <v>#VALUE!</v>
      </c>
      <c r="K18" s="110" t="e">
        <f>EP!F111</f>
        <v>#VALUE!</v>
      </c>
    </row>
    <row r="19" spans="1:18" ht="14.25" thickBot="1" x14ac:dyDescent="0.3"/>
    <row r="20" spans="1:18" ht="14.25" thickBot="1" x14ac:dyDescent="0.3">
      <c r="A20" s="141" t="s">
        <v>190</v>
      </c>
      <c r="C20" s="132" t="str">
        <f>B3&amp;-F3</f>
        <v>2016-2020</v>
      </c>
      <c r="D20" s="182">
        <f>TBAF!H15</f>
        <v>18658161.960000001</v>
      </c>
      <c r="E20" s="183"/>
      <c r="G20" s="133" t="str">
        <f>G3&amp;-K3</f>
        <v>2021-2025</v>
      </c>
      <c r="H20" s="182" t="e">
        <f>AVERAGE(G8:K8)*30</f>
        <v>#VALUE!</v>
      </c>
      <c r="I20" s="183"/>
    </row>
    <row r="21" spans="1:18" x14ac:dyDescent="0.25">
      <c r="A21" s="131"/>
    </row>
    <row r="29" spans="1:18" ht="13.5" customHeight="1" x14ac:dyDescent="0.25">
      <c r="Q29" s="93"/>
      <c r="R29" s="93"/>
    </row>
    <row r="30" spans="1:18" ht="13.5" customHeight="1" x14ac:dyDescent="0.25">
      <c r="Q30" s="93"/>
      <c r="R30" s="93"/>
    </row>
    <row r="31" spans="1:18" ht="13.5" customHeight="1" x14ac:dyDescent="0.25">
      <c r="Q31" s="93"/>
      <c r="R31" s="93"/>
    </row>
    <row r="32" spans="1:18" ht="13.5" customHeight="1" x14ac:dyDescent="0.25">
      <c r="Q32" s="93"/>
      <c r="R32" s="93"/>
    </row>
    <row r="33" spans="1:18" ht="13.5" customHeight="1" x14ac:dyDescent="0.25">
      <c r="Q33" s="93"/>
      <c r="R33" s="93"/>
    </row>
    <row r="34" spans="1:18" ht="13.5" customHeight="1" x14ac:dyDescent="0.25">
      <c r="Q34" s="93"/>
      <c r="R34" s="93"/>
    </row>
    <row r="38" spans="1:18" x14ac:dyDescent="0.25">
      <c r="A38" t="s">
        <v>202</v>
      </c>
      <c r="G38" t="s">
        <v>203</v>
      </c>
    </row>
  </sheetData>
  <mergeCells count="4">
    <mergeCell ref="A16:F16"/>
    <mergeCell ref="D20:E20"/>
    <mergeCell ref="H20:I20"/>
    <mergeCell ref="C1:G1"/>
  </mergeCells>
  <conditionalFormatting sqref="B17:F17">
    <cfRule type="cellIs" dxfId="12" priority="14" operator="lessThan">
      <formula>2</formula>
    </cfRule>
    <cfRule type="cellIs" dxfId="11" priority="15" operator="between">
      <formula>2</formula>
      <formula>2.5</formula>
    </cfRule>
    <cfRule type="cellIs" dxfId="10" priority="16" operator="greaterThan">
      <formula>2.5</formula>
    </cfRule>
  </conditionalFormatting>
  <conditionalFormatting sqref="B18:F18">
    <cfRule type="cellIs" dxfId="9" priority="11" operator="lessThan">
      <formula>25</formula>
    </cfRule>
    <cfRule type="cellIs" dxfId="8" priority="12" operator="between">
      <formula>25</formula>
      <formula>30</formula>
    </cfRule>
    <cfRule type="cellIs" dxfId="7" priority="13" operator="greaterThan">
      <formula>30</formula>
    </cfRule>
  </conditionalFormatting>
  <conditionalFormatting sqref="G17:K17">
    <cfRule type="cellIs" dxfId="6" priority="5" operator="lessThan">
      <formula>2</formula>
    </cfRule>
    <cfRule type="cellIs" dxfId="5" priority="6" operator="between">
      <formula>2</formula>
      <formula>2.5</formula>
    </cfRule>
    <cfRule type="cellIs" dxfId="4" priority="7" operator="greaterThan">
      <formula>2.5</formula>
    </cfRule>
  </conditionalFormatting>
  <conditionalFormatting sqref="G18:K18">
    <cfRule type="cellIs" dxfId="3" priority="1" operator="lessThan">
      <formula>25</formula>
    </cfRule>
    <cfRule type="cellIs" dxfId="2" priority="2" operator="between">
      <formula>25</formula>
      <formula>30</formula>
    </cfRule>
    <cfRule type="cellIs" dxfId="1" priority="3" operator="equal">
      <formula>"Impossible"</formula>
    </cfRule>
    <cfRule type="cellIs" dxfId="0" priority="4" operator="greaterThan">
      <formula>30</formula>
    </cfRule>
  </conditionalFormatting>
  <pageMargins left="0.25" right="0.25" top="0.75" bottom="0.75" header="0.3" footer="0.3"/>
  <pageSetup paperSize="9" orientation="landscape" r:id="rId1"/>
  <headerFooter>
    <oddHeader>&amp;LV1.0&amp;CTableau de bord de l'évaluation prospective&amp;R&amp;D</oddHeader>
    <oddFooter>&amp;L&amp;8Fichier d'analyse réalisé par l'UCV
conseils@ucv.ch&amp;C&amp;G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68E-2738-42BF-B874-C13CF03C7804}">
  <sheetPr>
    <tabColor rgb="FF92D050"/>
  </sheetPr>
  <dimension ref="B9:C19"/>
  <sheetViews>
    <sheetView zoomScale="175" zoomScaleNormal="175" workbookViewId="0">
      <selection activeCell="B22" sqref="B22"/>
    </sheetView>
  </sheetViews>
  <sheetFormatPr baseColWidth="10" defaultRowHeight="13.5" x14ac:dyDescent="0.25"/>
  <cols>
    <col min="2" max="2" width="53" customWidth="1"/>
  </cols>
  <sheetData>
    <row r="9" spans="2:3" x14ac:dyDescent="0.25">
      <c r="B9" t="s">
        <v>273</v>
      </c>
    </row>
    <row r="10" spans="2:3" x14ac:dyDescent="0.25">
      <c r="B10" t="s">
        <v>270</v>
      </c>
    </row>
    <row r="12" spans="2:3" x14ac:dyDescent="0.25">
      <c r="B12" t="s">
        <v>265</v>
      </c>
    </row>
    <row r="13" spans="2:3" x14ac:dyDescent="0.25">
      <c r="B13" t="s">
        <v>264</v>
      </c>
      <c r="C13" s="164" t="s">
        <v>263</v>
      </c>
    </row>
    <row r="14" spans="2:3" x14ac:dyDescent="0.25">
      <c r="B14" t="s">
        <v>266</v>
      </c>
      <c r="C14" s="164" t="s">
        <v>267</v>
      </c>
    </row>
    <row r="15" spans="2:3" x14ac:dyDescent="0.25">
      <c r="B15" t="s">
        <v>268</v>
      </c>
      <c r="C15" s="164" t="s">
        <v>269</v>
      </c>
    </row>
    <row r="16" spans="2:3" x14ac:dyDescent="0.25">
      <c r="B16" t="s">
        <v>272</v>
      </c>
      <c r="C16" s="164" t="s">
        <v>271</v>
      </c>
    </row>
    <row r="17" spans="2:3" x14ac:dyDescent="0.25">
      <c r="B17" t="s">
        <v>275</v>
      </c>
      <c r="C17" s="164" t="s">
        <v>274</v>
      </c>
    </row>
    <row r="19" spans="2:3" x14ac:dyDescent="0.25">
      <c r="B19" t="s">
        <v>276</v>
      </c>
    </row>
  </sheetData>
  <hyperlinks>
    <hyperlink ref="C13" r:id="rId1" xr:uid="{AB00F8AD-C375-4F98-81D4-FBE6BBF006E7}"/>
    <hyperlink ref="C14" r:id="rId2" xr:uid="{14A30A60-C8A6-4CA6-8F7F-32585DA2BC61}"/>
    <hyperlink ref="C15" r:id="rId3" xr:uid="{3F51B092-A135-488C-97F7-669A538085B0}"/>
    <hyperlink ref="C16" r:id="rId4" xr:uid="{089A7FF4-4C52-4563-A7DF-229AFCACE3C4}"/>
    <hyperlink ref="C17" r:id="rId5" xr:uid="{A9C55F25-C3F4-4F06-BC49-A3B205CEF789}"/>
  </hyperlinks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B75D299B897E4B88587F7CD9C0CA24" ma:contentTypeVersion="12" ma:contentTypeDescription="Crée un document." ma:contentTypeScope="" ma:versionID="4de9ae2239852a3630eb98052bbadce2">
  <xsd:schema xmlns:xsd="http://www.w3.org/2001/XMLSchema" xmlns:xs="http://www.w3.org/2001/XMLSchema" xmlns:p="http://schemas.microsoft.com/office/2006/metadata/properties" xmlns:ns2="77275f4c-6737-47fc-9c5e-f212172b2495" xmlns:ns3="d99ca88c-c8c0-44c7-b0c6-2a11d47a730b" targetNamespace="http://schemas.microsoft.com/office/2006/metadata/properties" ma:root="true" ma:fieldsID="35a06dc0e21fd62ba925800bf1906559" ns2:_="" ns3:_="">
    <xsd:import namespace="77275f4c-6737-47fc-9c5e-f212172b2495"/>
    <xsd:import namespace="d99ca88c-c8c0-44c7-b0c6-2a11d47a7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75f4c-6737-47fc-9c5e-f212172b2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ca88c-c8c0-44c7-b0c6-2a11d47a7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855D53-D412-4F04-AD46-9E624B348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D16DE-C74A-4F72-87A1-748C2E745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75f4c-6737-47fc-9c5e-f212172b2495"/>
    <ds:schemaRef ds:uri="d99ca88c-c8c0-44c7-b0c6-2a11d47a7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84FD41-0740-47D2-98AA-035009C29E1C}">
  <ds:schemaRefs>
    <ds:schemaRef ds:uri="http://schemas.microsoft.com/office/2006/documentManagement/types"/>
    <ds:schemaRef ds:uri="77275f4c-6737-47fc-9c5e-f212172b2495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d99ca88c-c8c0-44c7-b0c6-2a11d47a730b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</vt:lpstr>
      <vt:lpstr>AF</vt:lpstr>
      <vt:lpstr>TBAF</vt:lpstr>
      <vt:lpstr>EP</vt:lpstr>
      <vt:lpstr>TBEP</vt:lpstr>
      <vt:lpstr>INFO GCB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Saitta</dc:creator>
  <cp:lastModifiedBy>GCB</cp:lastModifiedBy>
  <cp:lastPrinted>2021-01-06T06:39:27Z</cp:lastPrinted>
  <dcterms:created xsi:type="dcterms:W3CDTF">2020-12-14T16:02:42Z</dcterms:created>
  <dcterms:modified xsi:type="dcterms:W3CDTF">2021-02-11T15:18:33Z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0x0101005AB75D299B897E4B88587F7CD9C0CA24</vt:lpwstr>
  </property>
</Properties>
</file>